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1100" windowHeight="11760" firstSheet="8" activeTab="8"/>
  </bookViews>
  <sheets>
    <sheet name="bp_2005-2007" sheetId="1" state="hidden" r:id="rId1"/>
    <sheet name="bp_2012-2013" sheetId="2" state="hidden" r:id="rId2"/>
    <sheet name="csi_2012-2013" sheetId="3" state="hidden" r:id="rId3"/>
    <sheet name="csijan-sep'13" sheetId="4" state="hidden" r:id="rId4"/>
    <sheet name="estcol4thq'13" sheetId="5" state="hidden" r:id="rId5"/>
    <sheet name="col2ndqtr'14" sheetId="6" state="hidden" r:id="rId6"/>
    <sheet name="editcol2ndqtr'14" sheetId="7" state="hidden" r:id="rId7"/>
    <sheet name="2015" sheetId="8" state="hidden" r:id="rId8"/>
    <sheet name="Debt Service" sheetId="9" r:id="rId9"/>
  </sheets>
  <definedNames>
    <definedName name="_xlnm.Print_Area" localSheetId="7">'2015'!$B$2:$H$189</definedName>
    <definedName name="_xlnm.Print_Area" localSheetId="0">'bp_2005-2007'!$B$1:$J$117</definedName>
    <definedName name="_xlnm.Print_Area" localSheetId="3">'csijan-sep''13'!$B$2:$G$285</definedName>
    <definedName name="_xlnm.Print_Area" localSheetId="8">'Debt Service'!$A$1:$L$26</definedName>
    <definedName name="_xlnm.Print_Area" localSheetId="6">'editcol2ndqtr''14'!$B$1:$G$233</definedName>
    <definedName name="_xlnm.Print_Area" localSheetId="4">'estcol4thq''13'!$B$1:$H$276</definedName>
    <definedName name="_xlnm.Print_Titles" localSheetId="7">'2015'!$8:$11</definedName>
    <definedName name="_xlnm.Print_Titles" localSheetId="0">'bp_2005-2007'!$7:$11</definedName>
    <definedName name="_xlnm.Print_Titles" localSheetId="1">'bp_2012-2013'!$7:$11</definedName>
    <definedName name="_xlnm.Print_Titles" localSheetId="3">'csijan-sep''13'!$7:$11</definedName>
    <definedName name="_xlnm.Print_Titles" localSheetId="6">'editcol2ndqtr''14'!$7:$11</definedName>
    <definedName name="_xlnm.Print_Titles" localSheetId="4">'estcol4thq''13'!$7:$11</definedName>
  </definedNames>
  <calcPr fullCalcOnLoad="1"/>
</workbook>
</file>

<file path=xl/comments7.xml><?xml version="1.0" encoding="utf-8"?>
<comments xmlns="http://schemas.openxmlformats.org/spreadsheetml/2006/main">
  <authors>
    <author>Mae Badajos</author>
  </authors>
  <commentList>
    <comment ref="B219" authorId="0">
      <text>
        <r>
          <rPr>
            <b/>
            <sz val="9"/>
            <rFont val="Tahoma"/>
            <family val="2"/>
          </rPr>
          <t xml:space="preserve">Offices only 1011-8852
</t>
        </r>
      </text>
    </comment>
  </commentList>
</comments>
</file>

<file path=xl/comments8.xml><?xml version="1.0" encoding="utf-8"?>
<comments xmlns="http://schemas.openxmlformats.org/spreadsheetml/2006/main">
  <authors>
    <author>Aida</author>
  </authors>
  <commentList>
    <comment ref="H180" authorId="0">
      <text>
        <r>
          <rPr>
            <b/>
            <sz val="9"/>
            <rFont val="Tahoma"/>
            <family val="2"/>
          </rPr>
          <t>From Debt Service</t>
        </r>
      </text>
    </comment>
  </commentList>
</comments>
</file>

<file path=xl/sharedStrings.xml><?xml version="1.0" encoding="utf-8"?>
<sst xmlns="http://schemas.openxmlformats.org/spreadsheetml/2006/main" count="2473" uniqueCount="634">
  <si>
    <t>Community Tax Certificate</t>
  </si>
  <si>
    <t>Property Transfer Tax</t>
  </si>
  <si>
    <t>Delivery Truck / Van Tax</t>
  </si>
  <si>
    <t>Fines &amp; Penalty - Tax Revenue (license)</t>
  </si>
  <si>
    <t>Registration Fee</t>
  </si>
  <si>
    <t>Fines &amp; Penalty - Permits &amp; Licenses</t>
  </si>
  <si>
    <t>Garbage Fee</t>
  </si>
  <si>
    <t>Inspection Fee</t>
  </si>
  <si>
    <t>Medical, Dental and Laboratory Fee</t>
  </si>
  <si>
    <t>Toll and Terminal Fee (Fish port)</t>
  </si>
  <si>
    <t>Rental Income</t>
  </si>
  <si>
    <t>Grants and Donations</t>
  </si>
  <si>
    <t>Interest Income</t>
  </si>
  <si>
    <t>Internal Revenue Allotment</t>
  </si>
  <si>
    <t>Share from PCSO</t>
  </si>
  <si>
    <t>Particulars</t>
  </si>
  <si>
    <t>Acct</t>
  </si>
  <si>
    <t>Code</t>
  </si>
  <si>
    <t>Past</t>
  </si>
  <si>
    <t>Year</t>
  </si>
  <si>
    <t>Semester</t>
  </si>
  <si>
    <t>Second</t>
  </si>
  <si>
    <t>(estimate) 2006</t>
  </si>
  <si>
    <t>(actual) 2006</t>
  </si>
  <si>
    <t>(actual) 2005</t>
  </si>
  <si>
    <t>Total</t>
  </si>
  <si>
    <t>REAL PROPERTY TAXES:</t>
  </si>
  <si>
    <t>Real Property Tax Receivable (current year)</t>
  </si>
  <si>
    <t>Real Property Tax (previous years)</t>
  </si>
  <si>
    <t xml:space="preserve">Discounts on Real Property Tax </t>
  </si>
  <si>
    <t>Fines &amp; Penalty - Tax Revenue (Real Property Tax)</t>
  </si>
  <si>
    <t>TAXES ON GOODS, SERVICES, FEES AND OTHER INCOME:</t>
  </si>
  <si>
    <t>Professional Tax</t>
  </si>
  <si>
    <t>Amusement Tax:</t>
  </si>
  <si>
    <t xml:space="preserve">  (a) Amusement Tax (15%)</t>
  </si>
  <si>
    <t>Business Taxes &amp; Licenses:</t>
  </si>
  <si>
    <t xml:space="preserve">  (a) Retailer of Essential Commodities</t>
  </si>
  <si>
    <t xml:space="preserve">  (b) Retailer of Non Essential Commodities</t>
  </si>
  <si>
    <t xml:space="preserve">  (c)  Wholesales/Dealer of Essential Commodities</t>
  </si>
  <si>
    <t xml:space="preserve">  (d) Wholesales/Dealer of Non Essential Commodities</t>
  </si>
  <si>
    <t xml:space="preserve">  (e) Producer of Essential Commodities</t>
  </si>
  <si>
    <t xml:space="preserve">  (f) Producer of Non Essential Commodities</t>
  </si>
  <si>
    <t xml:space="preserve">  (g) Contractors</t>
  </si>
  <si>
    <t xml:space="preserve">  (h) Service Establishments</t>
  </si>
  <si>
    <t xml:space="preserve">  (i) Banks &amp; Other Financial Institutions</t>
  </si>
  <si>
    <t xml:space="preserve">  (j) Peddlers</t>
  </si>
  <si>
    <t xml:space="preserve">  (k) Operator of Privately-owned Public Market</t>
  </si>
  <si>
    <t xml:space="preserve">  (l) Operator of Subdivision or Real Estate Developer</t>
  </si>
  <si>
    <t xml:space="preserve">  (m) Lessor of Real Estate</t>
  </si>
  <si>
    <t xml:space="preserve">  (n) Operator of Private Memorial Parks</t>
  </si>
  <si>
    <t xml:space="preserve">  (o) Operator of Boarding/Pension House &amp; Hotels</t>
  </si>
  <si>
    <t xml:space="preserve">  (p) Miller of Commodities &amp; Operator of coffee, coconut &amp; meat grinder</t>
  </si>
  <si>
    <t xml:space="preserve">  (q) Operator of Cockpit</t>
  </si>
  <si>
    <t xml:space="preserve">  ® Café, Cafeteria, Restaurant &amp; Other Eateries</t>
  </si>
  <si>
    <t xml:space="preserve">  (s) Retailer of Liqour or Wines</t>
  </si>
  <si>
    <t xml:space="preserve">  (t) Retailer of Tobacco</t>
  </si>
  <si>
    <t xml:space="preserve">  (u) Operator of Video Tape Rental Establishment</t>
  </si>
  <si>
    <t xml:space="preserve">  (v) Tax of Fisheries</t>
  </si>
  <si>
    <t xml:space="preserve">  (w) Miscellaneous Tax </t>
  </si>
  <si>
    <t>Franchise Tax</t>
  </si>
  <si>
    <t>Occupation Tax</t>
  </si>
  <si>
    <t>Printing and Publication Tax</t>
  </si>
  <si>
    <t>Sand, Gravel &amp; Other Quarry Products Tax</t>
  </si>
  <si>
    <t>Miscellaneous Other Taxes:</t>
  </si>
  <si>
    <t>Weights and Measures Fee</t>
  </si>
  <si>
    <t>Permit Fee:</t>
  </si>
  <si>
    <t xml:space="preserve">  (a) Mayor's Permit Fee</t>
  </si>
  <si>
    <t xml:space="preserve">  (b) Health Certification &amp; Sanitary Permit Fee</t>
  </si>
  <si>
    <t xml:space="preserve">  (c) Building Permit Fee</t>
  </si>
  <si>
    <t xml:space="preserve">  (d) Building Occupancy Permit Fee</t>
  </si>
  <si>
    <t xml:space="preserve">  (e) Marriage Permit Fee</t>
  </si>
  <si>
    <t xml:space="preserve">  (f)  Burial Permit Fee</t>
  </si>
  <si>
    <t xml:space="preserve">  (g) Zoning/Zoning Comformance Fee</t>
  </si>
  <si>
    <t xml:space="preserve">  (h) Bicycle Permit Fee</t>
  </si>
  <si>
    <t>Clearance and Certification Fee:</t>
  </si>
  <si>
    <t>Receipt from Market:</t>
  </si>
  <si>
    <t xml:space="preserve">  (a) Receipt from Public Market - local</t>
  </si>
  <si>
    <t xml:space="preserve">  (b) Receipt from Public Market - premiumed</t>
  </si>
  <si>
    <t>Receipt from Slaughter House:</t>
  </si>
  <si>
    <t xml:space="preserve">  (a) Slaughter Fee</t>
  </si>
  <si>
    <t xml:space="preserve">  (b) Post &amp; Ante Mortem Fee</t>
  </si>
  <si>
    <t xml:space="preserve">  (c) Registration of Large Cattle Fee</t>
  </si>
  <si>
    <t xml:space="preserve">  (d) Branding Fee</t>
  </si>
  <si>
    <t xml:space="preserve">  (e) NMIC Fee</t>
  </si>
  <si>
    <t xml:space="preserve">  (a) Rent Income - Heavy Equipment</t>
  </si>
  <si>
    <t xml:space="preserve">  (b) Rent Income - City Coliseum</t>
  </si>
  <si>
    <t xml:space="preserve">  (c) Rent Income - Delta P</t>
  </si>
  <si>
    <t>Other Specific Income of the LGU</t>
  </si>
  <si>
    <t>Share from Prov'l Gov't Excavation Fee</t>
  </si>
  <si>
    <t>Prior Year's Adjustment</t>
  </si>
  <si>
    <t>581-A</t>
  </si>
  <si>
    <t>581-B</t>
  </si>
  <si>
    <t>581-C</t>
  </si>
  <si>
    <t>582-A</t>
  </si>
  <si>
    <t>582-B</t>
  </si>
  <si>
    <t>582-C</t>
  </si>
  <si>
    <t>582-D</t>
  </si>
  <si>
    <t>582-E</t>
  </si>
  <si>
    <t>582-F</t>
  </si>
  <si>
    <t>582-G</t>
  </si>
  <si>
    <t>582-H</t>
  </si>
  <si>
    <t>582-I</t>
  </si>
  <si>
    <t>582-J</t>
  </si>
  <si>
    <t>582-K</t>
  </si>
  <si>
    <t>582-L</t>
  </si>
  <si>
    <t>582-M</t>
  </si>
  <si>
    <t>582-N</t>
  </si>
  <si>
    <t>582-O</t>
  </si>
  <si>
    <t>582-P</t>
  </si>
  <si>
    <t>582-Q</t>
  </si>
  <si>
    <t>582-R</t>
  </si>
  <si>
    <t>582-S</t>
  </si>
  <si>
    <t>582-T</t>
  </si>
  <si>
    <t>582-U</t>
  </si>
  <si>
    <t>582-V</t>
  </si>
  <si>
    <t>582-W</t>
  </si>
  <si>
    <t>605-A</t>
  </si>
  <si>
    <t>605-B</t>
  </si>
  <si>
    <t>605-C</t>
  </si>
  <si>
    <t>605-D</t>
  </si>
  <si>
    <t>605-E</t>
  </si>
  <si>
    <t>605-F</t>
  </si>
  <si>
    <t>605-G</t>
  </si>
  <si>
    <t>605-H</t>
  </si>
  <si>
    <t>636-A</t>
  </si>
  <si>
    <t>636-B</t>
  </si>
  <si>
    <t>637-A</t>
  </si>
  <si>
    <t>637-B</t>
  </si>
  <si>
    <t>637-C</t>
  </si>
  <si>
    <t>637-D</t>
  </si>
  <si>
    <t>637-E</t>
  </si>
  <si>
    <t>642-A</t>
  </si>
  <si>
    <t>642-B</t>
  </si>
  <si>
    <t>642-C</t>
  </si>
  <si>
    <t>Income from Transportation (Bus &amp; Jeepney Terminal)</t>
  </si>
  <si>
    <t>Certified correct:</t>
  </si>
  <si>
    <t xml:space="preserve">              City Accountant</t>
  </si>
  <si>
    <r>
      <t xml:space="preserve">          </t>
    </r>
    <r>
      <rPr>
        <b/>
        <u val="single"/>
        <sz val="10"/>
        <rFont val="Arial"/>
        <family val="2"/>
      </rPr>
      <t xml:space="preserve">   NANETTE A DARIO   </t>
    </r>
  </si>
  <si>
    <t>Budget</t>
  </si>
  <si>
    <t xml:space="preserve">  (b) Amusement Places</t>
  </si>
  <si>
    <t xml:space="preserve">  (c) Amusement Devices</t>
  </si>
  <si>
    <t>Fines &amp; Penalty - Business Income (Other Specific Income)</t>
  </si>
  <si>
    <t xml:space="preserve">Past </t>
  </si>
  <si>
    <t>estimates</t>
  </si>
  <si>
    <t>Billboards</t>
  </si>
  <si>
    <t>Receipt from TRACS</t>
  </si>
  <si>
    <t>Malampaya Natural Gas Share (Natural wealth)</t>
  </si>
  <si>
    <t>Lease of Reclamation Area</t>
  </si>
  <si>
    <t xml:space="preserve">                                        Certified Statement of Income and Expenditures</t>
  </si>
  <si>
    <t xml:space="preserve">                                                              Puerto Princesa City</t>
  </si>
  <si>
    <t xml:space="preserve">                                                                    General Fund</t>
  </si>
  <si>
    <r>
      <t xml:space="preserve">                                                               </t>
    </r>
    <r>
      <rPr>
        <b/>
        <u val="single"/>
        <sz val="10"/>
        <rFont val="Arial"/>
        <family val="2"/>
      </rPr>
      <t>RUBEN J FRANCISCO</t>
    </r>
  </si>
  <si>
    <t xml:space="preserve">                                                                  City Budget Officer</t>
  </si>
  <si>
    <r>
      <t xml:space="preserve">             </t>
    </r>
    <r>
      <rPr>
        <b/>
        <u val="single"/>
        <sz val="10"/>
        <rFont val="Arial"/>
        <family val="2"/>
      </rPr>
      <t xml:space="preserve">  ARMANDO D ABREA</t>
    </r>
  </si>
  <si>
    <t xml:space="preserve">                    City Treasurer</t>
  </si>
  <si>
    <t>(actual)</t>
  </si>
  <si>
    <t>Annual</t>
  </si>
  <si>
    <t xml:space="preserve">  (a) Medical Fee</t>
  </si>
  <si>
    <t xml:space="preserve">  (b) Laboratory Fee</t>
  </si>
  <si>
    <t xml:space="preserve">  (c) Blood Handling Fee</t>
  </si>
  <si>
    <t>619-A</t>
  </si>
  <si>
    <t>619-B</t>
  </si>
  <si>
    <t>619-C</t>
  </si>
  <si>
    <t>Other Business Income</t>
  </si>
  <si>
    <t>Miscellaneous Income</t>
  </si>
  <si>
    <t>598/628</t>
  </si>
  <si>
    <t xml:space="preserve">  (b) New Public Market Operation</t>
  </si>
  <si>
    <t>648-B</t>
  </si>
  <si>
    <t xml:space="preserve">  (d) TRACS Operation</t>
  </si>
  <si>
    <t>648-D</t>
  </si>
  <si>
    <t>648-G</t>
  </si>
  <si>
    <t>648-H</t>
  </si>
  <si>
    <t>648-I</t>
  </si>
  <si>
    <t>648-J</t>
  </si>
  <si>
    <t>648-K</t>
  </si>
  <si>
    <t>648-L</t>
  </si>
  <si>
    <t>642-D</t>
  </si>
  <si>
    <t xml:space="preserve">  (e) Rent Income - PALKO</t>
  </si>
  <si>
    <t xml:space="preserve">  (d) Rent Income - Exclusive Fishery Privilege</t>
  </si>
  <si>
    <t>642-E</t>
  </si>
  <si>
    <t>Other Service Income:</t>
  </si>
  <si>
    <t xml:space="preserve">  (e) Income from Lotto Operation</t>
  </si>
  <si>
    <t>648-E</t>
  </si>
  <si>
    <t xml:space="preserve">  (c) Motorpool Operation</t>
  </si>
  <si>
    <t>648-C</t>
  </si>
  <si>
    <t>(estimates)</t>
  </si>
  <si>
    <t>Share from Malampaya</t>
  </si>
  <si>
    <t>Fines &amp; Penalty - Tax Revenue (regulatory tax)</t>
  </si>
  <si>
    <t xml:space="preserve">Fees on Weights and Measures </t>
  </si>
  <si>
    <t>Fines &amp; Penalty - Permits &amp; Licenses (bus tax)</t>
  </si>
  <si>
    <t xml:space="preserve">  (a) Share in PPC Sports Complex (50%)</t>
  </si>
  <si>
    <t>648-A</t>
  </si>
  <si>
    <t>648-F</t>
  </si>
  <si>
    <t xml:space="preserve">  (f) Rent Income - Advertizing Income (electronic ads)</t>
  </si>
  <si>
    <t>642-F</t>
  </si>
  <si>
    <t xml:space="preserve">Fines &amp; Penalty - Business Income </t>
  </si>
  <si>
    <t>Certified Statement of Income &amp; Expenditures</t>
  </si>
  <si>
    <t>Puerto Princesa City</t>
  </si>
  <si>
    <t>General Fund</t>
  </si>
  <si>
    <t>Jan - June</t>
  </si>
  <si>
    <t xml:space="preserve"> </t>
  </si>
  <si>
    <t>Other Fees</t>
  </si>
  <si>
    <t xml:space="preserve">  (b) Receipt from Public Market - local (previous)</t>
  </si>
  <si>
    <t>636-AA</t>
  </si>
  <si>
    <t xml:space="preserve">  (c) Receipt from Public Market - premiumed</t>
  </si>
  <si>
    <t xml:space="preserve">  (d) Receipt from Public Market - premiumed (previous)</t>
  </si>
  <si>
    <t>636-BB</t>
  </si>
  <si>
    <t xml:space="preserve">  (e) Receipt from Market Operation</t>
  </si>
  <si>
    <t>636-C</t>
  </si>
  <si>
    <t xml:space="preserve">  (f) Quarry Permit Fee (Mining)</t>
  </si>
  <si>
    <t xml:space="preserve">  (g) Sale of Dog Meat</t>
  </si>
  <si>
    <t xml:space="preserve">  (h) St. Paul Operation</t>
  </si>
  <si>
    <t xml:space="preserve">  (i) City Housing Operation</t>
  </si>
  <si>
    <t xml:space="preserve">  (j) TRIKE Fund Operation</t>
  </si>
  <si>
    <t xml:space="preserve">  (k) Baywalk Operatiom</t>
  </si>
  <si>
    <t xml:space="preserve">  (l) Environment Availment Fee</t>
  </si>
  <si>
    <t>Share from DBM</t>
  </si>
  <si>
    <t>Total Receipts</t>
  </si>
  <si>
    <t>EXPENDITURES</t>
  </si>
  <si>
    <t>Current Operating Expenditures</t>
  </si>
  <si>
    <t>A. Personal Services</t>
  </si>
  <si>
    <t xml:space="preserve">         Salaries and Wages - Regular Pay</t>
  </si>
  <si>
    <t xml:space="preserve">         Salaries and Wages - Part Time Pay</t>
  </si>
  <si>
    <t xml:space="preserve">         Salaries and Wages - Casual</t>
  </si>
  <si>
    <t xml:space="preserve">         Salaries and Wages - Others</t>
  </si>
  <si>
    <t xml:space="preserve">         PERA / ADCOM</t>
  </si>
  <si>
    <t xml:space="preserve">         Representation Allowance (RA)</t>
  </si>
  <si>
    <t xml:space="preserve">         Transportation Allowance (TA)</t>
  </si>
  <si>
    <t xml:space="preserve">         Clothing Allowance</t>
  </si>
  <si>
    <t xml:space="preserve">         Subsistence, Laundry &amp; Quarter Allowance</t>
  </si>
  <si>
    <t xml:space="preserve">         Productivity and Incentive Benefits</t>
  </si>
  <si>
    <t xml:space="preserve">         Other Bonuses and Allowances</t>
  </si>
  <si>
    <t xml:space="preserve">         Honoraria</t>
  </si>
  <si>
    <t xml:space="preserve">         Hazard Pay</t>
  </si>
  <si>
    <t xml:space="preserve">         Overtime &amp; Night Pay</t>
  </si>
  <si>
    <t xml:space="preserve">         Cash Gift</t>
  </si>
  <si>
    <t xml:space="preserve">         Year-End Bonus</t>
  </si>
  <si>
    <t xml:space="preserve">         Life Retirement and Insurance Contributions</t>
  </si>
  <si>
    <t xml:space="preserve">         PAG-IBIG Contributions</t>
  </si>
  <si>
    <t xml:space="preserve">         PHILHEALTH Contributions</t>
  </si>
  <si>
    <t xml:space="preserve">         ECC Contributions</t>
  </si>
  <si>
    <t xml:space="preserve">         Terminal Leave Benefits</t>
  </si>
  <si>
    <t xml:space="preserve">         Health Workers Benefits</t>
  </si>
  <si>
    <t xml:space="preserve">         Other Personnel Benefits</t>
  </si>
  <si>
    <t xml:space="preserve">         Loyalty Cash Bonus</t>
  </si>
  <si>
    <t>749-A</t>
  </si>
  <si>
    <t xml:space="preserve">         Total Personal Services</t>
  </si>
  <si>
    <t>B. Maintenance &amp; Other Operating Expenses</t>
  </si>
  <si>
    <t xml:space="preserve">         Travelling Expenses - Local</t>
  </si>
  <si>
    <t xml:space="preserve">         Travelling Expenses - Foreign</t>
  </si>
  <si>
    <t xml:space="preserve">         Training and Seminar Expenses</t>
  </si>
  <si>
    <t xml:space="preserve">         Office Supplies Expense</t>
  </si>
  <si>
    <t xml:space="preserve">         Accountable Forms Expense</t>
  </si>
  <si>
    <t xml:space="preserve">         Zoological/Animal Maintenance</t>
  </si>
  <si>
    <t xml:space="preserve">         Food Supplies Expense</t>
  </si>
  <si>
    <t xml:space="preserve">         Drugs &amp; Medicines Expenses</t>
  </si>
  <si>
    <t xml:space="preserve">         Medical, Dental and Laboratory Supplies Exp.</t>
  </si>
  <si>
    <t xml:space="preserve">         Gasoline, Oil &amp; Lubricants Expense</t>
  </si>
  <si>
    <t xml:space="preserve">         Agricultural Supplies Expenses</t>
  </si>
  <si>
    <t xml:space="preserve">         Textbooks and Instructional Materials</t>
  </si>
  <si>
    <t xml:space="preserve">         Other Supplies Expenses</t>
  </si>
  <si>
    <t xml:space="preserve">         Water Expenses</t>
  </si>
  <si>
    <t xml:space="preserve">         Electricity Expenses</t>
  </si>
  <si>
    <t xml:space="preserve">         Postage and Deliveries</t>
  </si>
  <si>
    <t xml:space="preserve">         Telephone Expenses - Landline</t>
  </si>
  <si>
    <t xml:space="preserve">         Telephone Expenses - Moble</t>
  </si>
  <si>
    <t xml:space="preserve">         Internet Expenses</t>
  </si>
  <si>
    <t xml:space="preserve">         Cable, Satellite, Telegraph &amp; Radio Expenses</t>
  </si>
  <si>
    <t xml:space="preserve">         Membership Dues and Contibutions to Organizations</t>
  </si>
  <si>
    <t xml:space="preserve">         Advertising Expenses</t>
  </si>
  <si>
    <t xml:space="preserve">         Printing and Binding Expenses</t>
  </si>
  <si>
    <t xml:space="preserve">         Rent Expense</t>
  </si>
  <si>
    <t xml:space="preserve">         Representation Expense</t>
  </si>
  <si>
    <t xml:space="preserve">         Transporatation and Delivery Expenses</t>
  </si>
  <si>
    <t xml:space="preserve">         Subscriptions Expenses</t>
  </si>
  <si>
    <t xml:space="preserve">         Survey Expenses</t>
  </si>
  <si>
    <t xml:space="preserve">         Legal Services</t>
  </si>
  <si>
    <t xml:space="preserve">         Consultancy Services</t>
  </si>
  <si>
    <t xml:space="preserve">         General Services</t>
  </si>
  <si>
    <t xml:space="preserve">         Other Professional Services</t>
  </si>
  <si>
    <t xml:space="preserve">         Repairs and Maintenance - Land Improvements</t>
  </si>
  <si>
    <t xml:space="preserve">         Repairs and Maintenance - Electrification Power</t>
  </si>
  <si>
    <t xml:space="preserve">         Repairs and Maintenance - Office Building</t>
  </si>
  <si>
    <t xml:space="preserve">         Repairs and Maintenance - School Building</t>
  </si>
  <si>
    <t xml:space="preserve">         Repairs and Maintenance - Hospitals and Health Centers</t>
  </si>
  <si>
    <t xml:space="preserve">         Repairs and Maintenance - Market and Slaughterhouses</t>
  </si>
  <si>
    <t xml:space="preserve">         Repairs and Maintenance - Other Structures</t>
  </si>
  <si>
    <t xml:space="preserve">         Repairs and Maintenance - Other Structures -Streetlights</t>
  </si>
  <si>
    <t xml:space="preserve">         Repairs and Maintenance - Office Equipment</t>
  </si>
  <si>
    <t xml:space="preserve">         Repairs and Maintenance - Furniture and Fixtures </t>
  </si>
  <si>
    <t xml:space="preserve">         Repairs and Maintenance - IT Equipment</t>
  </si>
  <si>
    <t xml:space="preserve">         Repairs and Maintenance - Agricultural, Fishery and Forestry</t>
  </si>
  <si>
    <t xml:space="preserve">         Repairs and Maintenance - Communication Equipment</t>
  </si>
  <si>
    <t xml:space="preserve">         Repairs and Maintenance - Firefighting Eqpt. &amp; Accessories</t>
  </si>
  <si>
    <t xml:space="preserve">         Repairs and Maintenance - Medical, Dental, Laboratory Eqpt.</t>
  </si>
  <si>
    <t xml:space="preserve">         Repairs and Maintenance - Technical &amp; Scientific Equipment</t>
  </si>
  <si>
    <t xml:space="preserve">         Repairs and Maintenance - Other Machineries &amp; Equipment</t>
  </si>
  <si>
    <t xml:space="preserve">         Repairs and Maintenance - Motor Vehicle</t>
  </si>
  <si>
    <t xml:space="preserve">         Repairs and Maintenance - Watercrafts</t>
  </si>
  <si>
    <t xml:space="preserve">         Repairs and Maintenance - Other Property, Plant &amp; Equipment</t>
  </si>
  <si>
    <t xml:space="preserve">         Repairs and Maintenance - Roads, Highways and Bridges</t>
  </si>
  <si>
    <t xml:space="preserve">         Repairs and Maintenance - Artesian Wells, etc.</t>
  </si>
  <si>
    <t xml:space="preserve">         Repairs and Maintenance - Irrigation, Canals &amp; Laterals</t>
  </si>
  <si>
    <t xml:space="preserve">         Repairs and Maintenance - Waterways, Aqueducts, Seawalls </t>
  </si>
  <si>
    <t xml:space="preserve">         Repairs and Maintenance - Other Public Infrastructures</t>
  </si>
  <si>
    <t xml:space="preserve">         Subsidy to NGOs &amp; Pos</t>
  </si>
  <si>
    <t xml:space="preserve">         Donations</t>
  </si>
  <si>
    <t xml:space="preserve">         Confidential Expenses</t>
  </si>
  <si>
    <t xml:space="preserve">         Intelligence Expense</t>
  </si>
  <si>
    <t xml:space="preserve">         Taxes, Duties &amp; Licenses</t>
  </si>
  <si>
    <t xml:space="preserve">         Fidelity Bond Premiums</t>
  </si>
  <si>
    <t xml:space="preserve">         Insurance Expense</t>
  </si>
  <si>
    <t xml:space="preserve">         Depreciation - Land Improvements</t>
  </si>
  <si>
    <t xml:space="preserve">         Depreciation - Electrification, Power &amp; Energy Structures</t>
  </si>
  <si>
    <t xml:space="preserve">         Depreciation - Office Buildings</t>
  </si>
  <si>
    <t xml:space="preserve">         Depreciation - School Biuldings</t>
  </si>
  <si>
    <t xml:space="preserve">         Depreciation - Hospital and Health Centers</t>
  </si>
  <si>
    <t xml:space="preserve">         Depreciation - Market and Slaughterhouse</t>
  </si>
  <si>
    <t xml:space="preserve">         Depreciation - Other Structures</t>
  </si>
  <si>
    <t xml:space="preserve">         Depreciation - Office Equipment</t>
  </si>
  <si>
    <t xml:space="preserve">         Depreciation - Furniture &amp; Fixtures</t>
  </si>
  <si>
    <t xml:space="preserve">         Depreciation - IT Equipment</t>
  </si>
  <si>
    <t xml:space="preserve">         Depreciation - Library Books</t>
  </si>
  <si>
    <t xml:space="preserve">         Depreciation - Agricultural, Fishery &amp; Forestry Equipment</t>
  </si>
  <si>
    <t xml:space="preserve">         Depreciation - Communication Equipment</t>
  </si>
  <si>
    <t xml:space="preserve">         Depreciation - Construction and Heavy Equipment</t>
  </si>
  <si>
    <t xml:space="preserve">         Depreciation - Hospital Equipment</t>
  </si>
  <si>
    <t xml:space="preserve">         Depreciation - Medical, Dental &amp; Laboratory Equipment</t>
  </si>
  <si>
    <t xml:space="preserve">         Depreciation - Military, Police &amp; Traffic Equipment</t>
  </si>
  <si>
    <t xml:space="preserve">         Depreciation - Technical and Scientific Equipment</t>
  </si>
  <si>
    <t xml:space="preserve">         Depreciation - Other Machineries and Equipment</t>
  </si>
  <si>
    <t xml:space="preserve">         Depreciation - Motor Vehicle</t>
  </si>
  <si>
    <t xml:space="preserve">         Depreciation - Watercrafts</t>
  </si>
  <si>
    <t xml:space="preserve">         Other Maintenance and Operating Expenses</t>
  </si>
  <si>
    <t xml:space="preserve">         Total Maintenance &amp; Other Operating Expenses</t>
  </si>
  <si>
    <t>C. Financial Expenses</t>
  </si>
  <si>
    <t xml:space="preserve">         Bank Charges</t>
  </si>
  <si>
    <t xml:space="preserve">         Documentary Stamps Expenses</t>
  </si>
  <si>
    <t xml:space="preserve">         Interest Expenses</t>
  </si>
  <si>
    <t xml:space="preserve">         Other Financial Charges</t>
  </si>
  <si>
    <t xml:space="preserve">          Total Financial Expenses</t>
  </si>
  <si>
    <t>TOTAL CURRENT OPERATING  EXPENDITURES</t>
  </si>
  <si>
    <r>
      <t xml:space="preserve">          </t>
    </r>
    <r>
      <rPr>
        <b/>
        <u val="single"/>
        <sz val="10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</si>
  <si>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10"/>
        <rFont val="Bookman Old Style"/>
        <family val="1"/>
      </rPr>
      <t xml:space="preserve"> MA. CORAZON A. ABAYARI</t>
    </r>
  </si>
  <si>
    <t>Year 2013</t>
  </si>
  <si>
    <t xml:space="preserve">  (c) Amusement Places (TRA)</t>
  </si>
  <si>
    <t xml:space="preserve">  (a) Retailer of Essential Commodities (TRA)</t>
  </si>
  <si>
    <t xml:space="preserve">  (b) Retailer of Non Essential Commodities (TRA)</t>
  </si>
  <si>
    <t xml:space="preserve">  (c)  Wholesales/Dealer of Essential Commodities (TRA)</t>
  </si>
  <si>
    <t xml:space="preserve">  (h) Service Establishments (TRA)</t>
  </si>
  <si>
    <t xml:space="preserve">  (o) Operator of Boarding/Pension House &amp; Hotels (TRA)</t>
  </si>
  <si>
    <t xml:space="preserve">  (r) Café, Cafeteria, Restaurant &amp; Other Eateries</t>
  </si>
  <si>
    <t xml:space="preserve">  (r) Café, Cafeteria, Restaurant &amp; Other Eateries (TRA)</t>
  </si>
  <si>
    <t xml:space="preserve">  (a) Mayor's Permit Fee (TRA)</t>
  </si>
  <si>
    <t>Miscellaneous Income - Ord. # 517</t>
  </si>
  <si>
    <t>678-A</t>
  </si>
  <si>
    <t>678-B</t>
  </si>
  <si>
    <t>678-C</t>
  </si>
  <si>
    <t>678-F</t>
  </si>
  <si>
    <t>Miscellaneous Income - Led Walls Ads</t>
  </si>
  <si>
    <t>Miscellaneous Income - Patronage Refund (Paleco)</t>
  </si>
  <si>
    <t>Miscellaneous Income - Public Market</t>
  </si>
  <si>
    <t>BUDGET YEAR</t>
  </si>
  <si>
    <t xml:space="preserve">         Anniversary Bonus</t>
  </si>
  <si>
    <t>749-B</t>
  </si>
  <si>
    <t xml:space="preserve">         Auditing Services</t>
  </si>
  <si>
    <t xml:space="preserve">         Repairs and Maintenance - Flood Controls</t>
  </si>
  <si>
    <t xml:space="preserve">         Subsidy to Other Funds</t>
  </si>
  <si>
    <t xml:space="preserve">         Depreciation - Machinery</t>
  </si>
  <si>
    <t xml:space="preserve">         Depreciation - Firefighting Equipment and Accessories</t>
  </si>
  <si>
    <t xml:space="preserve">         Depreciation - Othet Transportation Equipment</t>
  </si>
  <si>
    <r>
      <t xml:space="preserve">                                                               </t>
    </r>
    <r>
      <rPr>
        <b/>
        <u val="single"/>
        <sz val="10"/>
        <rFont val="Bookman Old Style"/>
        <family val="1"/>
      </rPr>
      <t>REGINA S. CANTILLO</t>
    </r>
  </si>
  <si>
    <t>(estimate)</t>
  </si>
  <si>
    <t>CERTIFIED STATEMENT OF INCOME</t>
  </si>
  <si>
    <t>Jan - Sep</t>
  </si>
  <si>
    <t xml:space="preserve">  (g) Rent Income - Market Rental</t>
  </si>
  <si>
    <t>642-G</t>
  </si>
  <si>
    <r>
      <t xml:space="preserve">          </t>
    </r>
    <r>
      <rPr>
        <b/>
        <u val="single"/>
        <sz val="8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</si>
  <si>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8"/>
        <rFont val="Bookman Old Style"/>
        <family val="1"/>
      </rPr>
      <t xml:space="preserve"> MA. CORAZON A. ABAYARI</t>
    </r>
  </si>
  <si>
    <r>
      <t xml:space="preserve">                                                               </t>
    </r>
    <r>
      <rPr>
        <b/>
        <u val="single"/>
        <sz val="8"/>
        <rFont val="Bookman Old Style"/>
        <family val="1"/>
      </rPr>
      <t>REGINA S. CANTILLO</t>
    </r>
  </si>
  <si>
    <t>*</t>
  </si>
  <si>
    <t>Oct - Dec</t>
  </si>
  <si>
    <t>collection</t>
  </si>
  <si>
    <t>*159317</t>
  </si>
  <si>
    <r>
      <t xml:space="preserve">          </t>
    </r>
    <r>
      <rPr>
        <b/>
        <u val="single"/>
        <sz val="7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</si>
  <si>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7"/>
        <rFont val="Bookman Old Style"/>
        <family val="1"/>
      </rPr>
      <t xml:space="preserve"> MA. CORAZON A. ABAYARI</t>
    </r>
  </si>
  <si>
    <t>Oct-Dec</t>
  </si>
  <si>
    <t>282,534,829.34*</t>
  </si>
  <si>
    <t>* 80 % of IRA</t>
  </si>
  <si>
    <t>Year 2014</t>
  </si>
  <si>
    <t>Jan - Jun</t>
  </si>
  <si>
    <t xml:space="preserve">  (a) Tax on Theaters and Cinema (15%)</t>
  </si>
  <si>
    <t xml:space="preserve">  (b) Tax on Admission/Entrance Fee-Cinema</t>
  </si>
  <si>
    <t>581-A-1</t>
  </si>
  <si>
    <t>581-A-2</t>
  </si>
  <si>
    <t xml:space="preserve">  ©  Tax on Admission/Entrance Fee-Others</t>
  </si>
  <si>
    <t>581-A-3</t>
  </si>
  <si>
    <t>Tax on Cinema</t>
  </si>
  <si>
    <t>Tax on Amusement Places/Devices</t>
  </si>
  <si>
    <t>581-B-1</t>
  </si>
  <si>
    <t xml:space="preserve">  (b) Tax on Amusement Places (TRA)</t>
  </si>
  <si>
    <t xml:space="preserve">  (a) Tax on Amusement Places</t>
  </si>
  <si>
    <t>581-B-2</t>
  </si>
  <si>
    <t xml:space="preserve">  (c) Tax on Amusement Devices</t>
  </si>
  <si>
    <t>581-B-3</t>
  </si>
  <si>
    <t>582-X</t>
  </si>
  <si>
    <t xml:space="preserve">  (w )Micro Business </t>
  </si>
  <si>
    <t xml:space="preserve">  (x) Miscellaneous Business Tax</t>
  </si>
  <si>
    <t xml:space="preserve">  (y) Tax on Prior Years</t>
  </si>
  <si>
    <t>582-Y</t>
  </si>
  <si>
    <t xml:space="preserve">  (z) Int./Surcharged Business Tax</t>
  </si>
  <si>
    <t>582-Z</t>
  </si>
  <si>
    <t xml:space="preserve">  (b) Market Clearance Fee</t>
  </si>
  <si>
    <t xml:space="preserve">  ©  Stall Rental Fee</t>
  </si>
  <si>
    <t xml:space="preserve">  (d) NMIS Clearance Fee</t>
  </si>
  <si>
    <t xml:space="preserve">  (e) Receipt from Public Market - premiumed</t>
  </si>
  <si>
    <t xml:space="preserve">  (f) Receipt from Market Operation</t>
  </si>
  <si>
    <t>636-D</t>
  </si>
  <si>
    <t>636-E</t>
  </si>
  <si>
    <t>636-F</t>
  </si>
  <si>
    <t>637-F</t>
  </si>
  <si>
    <t xml:space="preserve">  (a) Post &amp; Ante Mortem Fee</t>
  </si>
  <si>
    <t xml:space="preserve">  (b) Registration of Large Cattle Fee</t>
  </si>
  <si>
    <t xml:space="preserve">  (c) Certificate of Transfer of Large Cattle</t>
  </si>
  <si>
    <t xml:space="preserve">  (d) Certificate of Ownershio of Large Cattle</t>
  </si>
  <si>
    <t xml:space="preserve">  (e) Branding Fee</t>
  </si>
  <si>
    <t xml:space="preserve">  (f) NMIC Fee</t>
  </si>
  <si>
    <t xml:space="preserve">  (g) Slaughter Fee</t>
  </si>
  <si>
    <t xml:space="preserve">  (a) Rent Income - Heavy Equipment/Motorpool</t>
  </si>
  <si>
    <t xml:space="preserve">  ©  Rent Income -City Coliseum - Electricity</t>
  </si>
  <si>
    <t xml:space="preserve">  (d) Rent Income - Delta P</t>
  </si>
  <si>
    <t xml:space="preserve">  (e) Rent Income - Advertising Fee(E. Billboard)</t>
  </si>
  <si>
    <t xml:space="preserve">  (f) Rent Income - Public Market (Arreza)</t>
  </si>
  <si>
    <t xml:space="preserve">  (g) Rent Income - Ambulance Service</t>
  </si>
  <si>
    <t xml:space="preserve">  (a) TRACS Operation</t>
  </si>
  <si>
    <t xml:space="preserve">  (b) Sale of Dog Meat</t>
  </si>
  <si>
    <t xml:space="preserve">  (c) PPUR (Undergound River)</t>
  </si>
  <si>
    <t xml:space="preserve">  (d) Environment Availment Fee</t>
  </si>
  <si>
    <t xml:space="preserve">  (e) City Housing Operation</t>
  </si>
  <si>
    <t xml:space="preserve">  (f) Baywalk Operatiom</t>
  </si>
  <si>
    <t xml:space="preserve">  (g) Quarry Permit Fee (Mining)</t>
  </si>
  <si>
    <t xml:space="preserve">  (h) New Public Market Operation</t>
  </si>
  <si>
    <t xml:space="preserve">  (a)  Traffic Violation</t>
  </si>
  <si>
    <t>649-A</t>
  </si>
  <si>
    <t xml:space="preserve">  (b) Health </t>
  </si>
  <si>
    <t xml:space="preserve">  (d) Civil Registry</t>
  </si>
  <si>
    <t xml:space="preserve">  (e)  Zoning Fee</t>
  </si>
  <si>
    <t xml:space="preserve">  (f) Bicycle Permit Fee</t>
  </si>
  <si>
    <t>Medical, Dental Fee &amp; Medico Legal</t>
  </si>
  <si>
    <t>Laboratory Fee</t>
  </si>
  <si>
    <t>Blood Handling Fee</t>
  </si>
  <si>
    <t xml:space="preserve">  (g) Building Occupancy Permit Fee</t>
  </si>
  <si>
    <t xml:space="preserve">  (h) Marriage Permit Fee</t>
  </si>
  <si>
    <t xml:space="preserve">  (i)  Burial Permit Fee</t>
  </si>
  <si>
    <t>605-I</t>
  </si>
  <si>
    <r>
      <t xml:space="preserve">          </t>
    </r>
    <r>
      <rPr>
        <b/>
        <u val="single"/>
        <sz val="8"/>
        <rFont val="Bookman Old Style"/>
        <family val="1"/>
      </rPr>
      <t xml:space="preserve">   AIDA G. DUSONG   </t>
    </r>
  </si>
  <si>
    <t>LBP Form No. 2</t>
  </si>
  <si>
    <t>Current year Appropriation</t>
  </si>
  <si>
    <t>(Actual)</t>
  </si>
  <si>
    <t xml:space="preserve">         Longevity Pay</t>
  </si>
  <si>
    <t xml:space="preserve">         Cooking Gas Expenses</t>
  </si>
  <si>
    <t xml:space="preserve">         Repairs and Maintenance - Parks, Plazas &amp; Mountains</t>
  </si>
  <si>
    <t>(Estimate)</t>
  </si>
  <si>
    <t xml:space="preserve">             AIDA G. DUSONG   </t>
  </si>
  <si>
    <t>MA. CORAZON A. ABAYARI</t>
  </si>
  <si>
    <t>City Treasurer</t>
  </si>
  <si>
    <t>APPROVED:</t>
  </si>
  <si>
    <t>LUCILO R. BAYRON</t>
  </si>
  <si>
    <t>City Mayor</t>
  </si>
  <si>
    <t>D. Capital Outlay</t>
  </si>
  <si>
    <t>E. Non-Office Expenditures</t>
  </si>
  <si>
    <t>TOTAL EXPENDITURES</t>
  </si>
  <si>
    <t>January - December</t>
  </si>
  <si>
    <t>717-A</t>
  </si>
  <si>
    <t xml:space="preserve">         Productivity and Incentive Benefits - PEI</t>
  </si>
  <si>
    <t xml:space="preserve">         Salaries and Wages - Regular</t>
  </si>
  <si>
    <t xml:space="preserve">         PERA / ACA</t>
  </si>
  <si>
    <t xml:space="preserve">         Overtime and Night Pay</t>
  </si>
  <si>
    <t xml:space="preserve">         Membership Dues &amp; Contributions to Organizations</t>
  </si>
  <si>
    <t xml:space="preserve">                   </t>
  </si>
  <si>
    <t>Past Year</t>
  </si>
  <si>
    <t>Current Year Appropriations</t>
  </si>
  <si>
    <t>January - June</t>
  </si>
  <si>
    <t>July - December</t>
  </si>
  <si>
    <t>Beginning Balances</t>
  </si>
  <si>
    <t xml:space="preserve">  ©  Rent Income -Delta P</t>
  </si>
  <si>
    <t xml:space="preserve">  (h) Rent Income - PALKO</t>
  </si>
  <si>
    <t>642-H</t>
  </si>
  <si>
    <t xml:space="preserve">       Income from Lotto Operation</t>
  </si>
  <si>
    <t xml:space="preserve">  (h) New Public Market Opertion</t>
  </si>
  <si>
    <t>Current Operating Expeditures</t>
  </si>
  <si>
    <t xml:space="preserve">A. Personal Service </t>
  </si>
  <si>
    <t>Salaries and Wages - Regular Pay</t>
  </si>
  <si>
    <t>PERA</t>
  </si>
  <si>
    <t>Representation Allowance (RA)</t>
  </si>
  <si>
    <t>Transportation Allowance (TA)</t>
  </si>
  <si>
    <t>Clothing Allowance</t>
  </si>
  <si>
    <t>Subsistence, Laundry and Quarter Allowance</t>
  </si>
  <si>
    <t>Productivity and Incentive Benefits</t>
  </si>
  <si>
    <t>Honoraria</t>
  </si>
  <si>
    <t>Hazard Pay</t>
  </si>
  <si>
    <t>Longevity Pay</t>
  </si>
  <si>
    <t>Overtime and Night Pay</t>
  </si>
  <si>
    <t>Cash Gift</t>
  </si>
  <si>
    <t>Year-end Bonus</t>
  </si>
  <si>
    <t>Life Retirement and Insurance Contributions</t>
  </si>
  <si>
    <t>PAG-IBIG Contributions</t>
  </si>
  <si>
    <t>PHILHEALTH Contributions</t>
  </si>
  <si>
    <t>ECC Contributions</t>
  </si>
  <si>
    <t>Terminal Leave Benefits</t>
  </si>
  <si>
    <t>Health Workers Benefits</t>
  </si>
  <si>
    <t>Subsistence</t>
  </si>
  <si>
    <t>743-A</t>
  </si>
  <si>
    <t>Laundry</t>
  </si>
  <si>
    <t>743-B</t>
  </si>
  <si>
    <t>Hazard</t>
  </si>
  <si>
    <t>743-C</t>
  </si>
  <si>
    <t>Longetivity</t>
  </si>
  <si>
    <t>743-D</t>
  </si>
  <si>
    <t>Other Personnel Benefits</t>
  </si>
  <si>
    <t>Loyalty Cash Bonus</t>
  </si>
  <si>
    <t>Provision for Other Personnel Benefits</t>
  </si>
  <si>
    <t>749-C</t>
  </si>
  <si>
    <t>Anniversary Bonus</t>
  </si>
  <si>
    <t>Retirement Gratuity</t>
  </si>
  <si>
    <t>Provision for Creation of Plantilla Personnel</t>
  </si>
  <si>
    <t>Total Personal Services</t>
  </si>
  <si>
    <t>Travelling Expenses - Local</t>
  </si>
  <si>
    <t>Travelling Expenses - Foreign</t>
  </si>
  <si>
    <t>Trainings and Seminars - Expense</t>
  </si>
  <si>
    <t>Office Supplies Expense</t>
  </si>
  <si>
    <t>Accountable Forms Expense</t>
  </si>
  <si>
    <t>Animal/Zoological Supplies Expense</t>
  </si>
  <si>
    <t>Food Supplies Expense</t>
  </si>
  <si>
    <t>Drugs &amp; Medicines Expenses</t>
  </si>
  <si>
    <t>Medical, dental and Laboratory Supplies Expenses</t>
  </si>
  <si>
    <t>Gasoline, Oil and Lubricants Expenses</t>
  </si>
  <si>
    <t>Agricultural Supplies Expenses</t>
  </si>
  <si>
    <t>Other Supplies Expenses</t>
  </si>
  <si>
    <t>Water Expense</t>
  </si>
  <si>
    <t>Electricity Expense</t>
  </si>
  <si>
    <t>Postage and Deliveries</t>
  </si>
  <si>
    <t>Telephone Expense - Landline</t>
  </si>
  <si>
    <t>Telephone Expense - Mobile</t>
  </si>
  <si>
    <t>Internet Expenses</t>
  </si>
  <si>
    <t>Cable, satellite, Telegraph and Radio Expenses</t>
  </si>
  <si>
    <t>Membership Dues &amp; Contributions to Organizations</t>
  </si>
  <si>
    <t>Advertising Expense</t>
  </si>
  <si>
    <t>Printing and Binding Expense</t>
  </si>
  <si>
    <t>Rent Expense</t>
  </si>
  <si>
    <t>Representation Expense</t>
  </si>
  <si>
    <t>Transportation and Delivery Expenses</t>
  </si>
  <si>
    <t>Subscriptions Expense</t>
  </si>
  <si>
    <t>Environment and Sanitary Services</t>
  </si>
  <si>
    <t>General Services</t>
  </si>
  <si>
    <t>Other Professional Services</t>
  </si>
  <si>
    <t>Repairs and Maintenance - Electrification, Power &amp; Energy Structures Buildings</t>
  </si>
  <si>
    <t>Repairs and Maintenance - Office Building</t>
  </si>
  <si>
    <t>Repairs and Maintenance - Hospitals and Health Centers</t>
  </si>
  <si>
    <t>Repairs and Maintenance - Markets and Slaughterhouses</t>
  </si>
  <si>
    <t>Repairs and Maintenance - Other Structures</t>
  </si>
  <si>
    <t>Repairs and Maintenance - Office Equipment</t>
  </si>
  <si>
    <t>Repairs and Maintenance - Furniture and Fixtures</t>
  </si>
  <si>
    <t>Repairs and Maintenance - IT Equipment</t>
  </si>
  <si>
    <t>Repairs and Maintenance - Medical, Dental, Lab. Expenses</t>
  </si>
  <si>
    <t>Repairs and Maintenance - Other Machineries &amp; Eqpt.</t>
  </si>
  <si>
    <t>Repairs and Maintenance - Motor Vehicles</t>
  </si>
  <si>
    <t>Repairs and Maintenance - Watercrafts</t>
  </si>
  <si>
    <t>Repairs and Maintenance - Other Property, Plant &amp; Equipment</t>
  </si>
  <si>
    <t>Repairs and Maintenance - Roads, Highways and Bridges</t>
  </si>
  <si>
    <t>Repairs and Maintenance - Parks, Plazas &amp; Monuments</t>
  </si>
  <si>
    <t>Repairs and Maintenance - Artesian Wells, etc.</t>
  </si>
  <si>
    <t>Repairs and Maintenance - Other Public Infrastructures</t>
  </si>
  <si>
    <t>Repairs and Maintenance - Construction &amp; Heavy Eqpt.</t>
  </si>
  <si>
    <t>Subsidy to Other Funds - Calamity Fund</t>
  </si>
  <si>
    <t>Donations</t>
  </si>
  <si>
    <t>Confdential Expenses</t>
  </si>
  <si>
    <t>Taxes, Duties and Fees</t>
  </si>
  <si>
    <t>Fidelity Bond Premiums</t>
  </si>
  <si>
    <t>Insurance Expense</t>
  </si>
  <si>
    <t>Other Maintenance and Operating Expenses</t>
  </si>
  <si>
    <t>Total Maintenance &amp; Operating Expenses</t>
  </si>
  <si>
    <t>Bank Charges</t>
  </si>
  <si>
    <t>Other Financial Charges</t>
  </si>
  <si>
    <t>Total Financial Charges</t>
  </si>
  <si>
    <t>Productivity and Incentive Benefits - PEI</t>
  </si>
  <si>
    <t>Longetivity Pay</t>
  </si>
  <si>
    <t>Interest Expenses</t>
  </si>
  <si>
    <t>NET AVAILABLE FOR APPROPRIATION</t>
  </si>
  <si>
    <t>Certified Statement of Income and Expenditures</t>
  </si>
  <si>
    <t>Loan Repayments</t>
  </si>
  <si>
    <t>`</t>
  </si>
  <si>
    <t>Creditor</t>
  </si>
  <si>
    <t xml:space="preserve">Date Contracted   </t>
  </si>
  <si>
    <t>Term</t>
  </si>
  <si>
    <t>Principal Amount</t>
  </si>
  <si>
    <t>Previous Payments Made</t>
  </si>
  <si>
    <t>Principal</t>
  </si>
  <si>
    <t>Interest</t>
  </si>
  <si>
    <t>(1)</t>
  </si>
  <si>
    <t>(2)</t>
  </si>
  <si>
    <t>(3)</t>
  </si>
  <si>
    <t>(4)</t>
  </si>
  <si>
    <t>(5)</t>
  </si>
  <si>
    <t>(6)</t>
  </si>
  <si>
    <t>(7)</t>
  </si>
  <si>
    <t>LBP</t>
  </si>
  <si>
    <t>10 years @ 4.75%</t>
  </si>
  <si>
    <t>TOTAL</t>
  </si>
  <si>
    <t>Local Budget Preparation Form No. 5</t>
  </si>
  <si>
    <t>Annex H</t>
  </si>
  <si>
    <t>STATEMENT OF INDEBTEDNESS</t>
  </si>
  <si>
    <t>Purpose</t>
  </si>
  <si>
    <t>(8)</t>
  </si>
  <si>
    <t>(9)</t>
  </si>
  <si>
    <t>(10)</t>
  </si>
  <si>
    <t>(11)</t>
  </si>
  <si>
    <t>(12)</t>
  </si>
  <si>
    <t>Balance of the Principal</t>
  </si>
  <si>
    <t>Amount Due  (Budget Year)</t>
  </si>
  <si>
    <t>6 YEARS @ 0%</t>
  </si>
  <si>
    <t xml:space="preserve">PVB Take-Out and Various Loans </t>
  </si>
  <si>
    <t>Puerto Princesa Green City Hall</t>
  </si>
  <si>
    <t>Bgy. Mangingisda Housing Project</t>
  </si>
  <si>
    <t>CITY OF PUERTO PRINCESA</t>
  </si>
  <si>
    <t xml:space="preserve">     Certified Correct:</t>
  </si>
  <si>
    <t>CHARLITO B. PADUL</t>
  </si>
  <si>
    <t>City Accountant</t>
  </si>
  <si>
    <t>MARIA REGINA S. CANTILLO</t>
  </si>
  <si>
    <t>City Budget Officer</t>
  </si>
  <si>
    <t>Noted:</t>
  </si>
  <si>
    <t>NHA*</t>
  </si>
  <si>
    <t>For New Loan</t>
  </si>
  <si>
    <t xml:space="preserve"> @ 4.25%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</si>
</sst>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0"/>
  </numFmts>
  <fonts count="85">
    <font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merican Classic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2"/>
    </font>
    <font>
      <sz val="7"/>
      <name val="Arial"/>
      <family val="2"/>
    </font>
    <font>
      <sz val="10"/>
      <name val="American Classic"/>
      <family val="1"/>
    </font>
    <font>
      <b/>
      <sz val="10"/>
      <name val="American Classic"/>
      <family val="1"/>
    </font>
    <font>
      <b/>
      <i/>
      <sz val="10"/>
      <name val="Bookman Old Style"/>
      <family val="1"/>
    </font>
    <font>
      <sz val="8"/>
      <name val="Bookman Old Style"/>
      <family val="1"/>
    </font>
    <font>
      <sz val="8"/>
      <name val="American Classic"/>
      <family val="1"/>
    </font>
    <font>
      <b/>
      <sz val="8"/>
      <name val="American Classic"/>
      <family val="1"/>
    </font>
    <font>
      <b/>
      <i/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u val="single"/>
      <sz val="8"/>
      <name val="Bookman Old Style"/>
      <family val="1"/>
    </font>
    <font>
      <sz val="7"/>
      <name val="Bookman Old Style"/>
      <family val="1"/>
    </font>
    <font>
      <sz val="7"/>
      <name val="American Classic"/>
      <family val="1"/>
    </font>
    <font>
      <b/>
      <sz val="7"/>
      <name val="American Classic"/>
      <family val="1"/>
    </font>
    <font>
      <b/>
      <i/>
      <sz val="7"/>
      <name val="Bookman Old Style"/>
      <family val="1"/>
    </font>
    <font>
      <b/>
      <sz val="7"/>
      <name val="Bookman Old Style"/>
      <family val="1"/>
    </font>
    <font>
      <b/>
      <u val="single"/>
      <sz val="7"/>
      <name val="Bookman Old Style"/>
      <family val="1"/>
    </font>
    <font>
      <sz val="6"/>
      <name val="Bookman Old Style"/>
      <family val="1"/>
    </font>
    <font>
      <sz val="6"/>
      <name val="Arial"/>
      <family val="2"/>
    </font>
    <font>
      <b/>
      <sz val="6"/>
      <name val="Bookman Old Style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39" fontId="8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39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39" fontId="1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39" fontId="3" fillId="0" borderId="16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39" fontId="10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39" fontId="1" fillId="0" borderId="19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2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9" fontId="10" fillId="0" borderId="2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39" fontId="11" fillId="0" borderId="2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39" fontId="12" fillId="0" borderId="23" xfId="0" applyNumberFormat="1" applyFont="1" applyFill="1" applyBorder="1" applyAlignment="1">
      <alignment/>
    </xf>
    <xf numFmtId="171" fontId="11" fillId="0" borderId="23" xfId="0" applyNumberFormat="1" applyFont="1" applyFill="1" applyBorder="1" applyAlignment="1">
      <alignment/>
    </xf>
    <xf numFmtId="39" fontId="17" fillId="0" borderId="24" xfId="0" applyNumberFormat="1" applyFont="1" applyFill="1" applyBorder="1" applyAlignment="1">
      <alignment/>
    </xf>
    <xf numFmtId="39" fontId="12" fillId="0" borderId="24" xfId="0" applyNumberFormat="1" applyFont="1" applyFill="1" applyBorder="1" applyAlignment="1">
      <alignment/>
    </xf>
    <xf numFmtId="39" fontId="12" fillId="0" borderId="23" xfId="0" applyNumberFormat="1" applyFont="1" applyFill="1" applyBorder="1" applyAlignment="1">
      <alignment horizontal="left"/>
    </xf>
    <xf numFmtId="39" fontId="12" fillId="0" borderId="24" xfId="0" applyNumberFormat="1" applyFont="1" applyFill="1" applyBorder="1" applyAlignment="1">
      <alignment horizontal="left"/>
    </xf>
    <xf numFmtId="39" fontId="11" fillId="0" borderId="23" xfId="0" applyNumberFormat="1" applyFont="1" applyFill="1" applyBorder="1" applyAlignment="1">
      <alignment horizontal="right"/>
    </xf>
    <xf numFmtId="39" fontId="11" fillId="0" borderId="24" xfId="0" applyNumberFormat="1" applyFont="1" applyFill="1" applyBorder="1" applyAlignment="1">
      <alignment horizontal="right"/>
    </xf>
    <xf numFmtId="39" fontId="12" fillId="0" borderId="23" xfId="0" applyNumberFormat="1" applyFont="1" applyFill="1" applyBorder="1" applyAlignment="1">
      <alignment horizontal="right"/>
    </xf>
    <xf numFmtId="39" fontId="12" fillId="0" borderId="24" xfId="0" applyNumberFormat="1" applyFont="1" applyFill="1" applyBorder="1" applyAlignment="1">
      <alignment horizontal="right"/>
    </xf>
    <xf numFmtId="39" fontId="11" fillId="0" borderId="25" xfId="0" applyNumberFormat="1" applyFont="1" applyFill="1" applyBorder="1" applyAlignment="1">
      <alignment horizontal="right"/>
    </xf>
    <xf numFmtId="39" fontId="12" fillId="0" borderId="18" xfId="0" applyNumberFormat="1" applyFont="1" applyFill="1" applyBorder="1" applyAlignment="1">
      <alignment horizontal="right"/>
    </xf>
    <xf numFmtId="39" fontId="11" fillId="0" borderId="11" xfId="0" applyNumberFormat="1" applyFont="1" applyFill="1" applyBorder="1" applyAlignment="1">
      <alignment horizontal="right"/>
    </xf>
    <xf numFmtId="39" fontId="11" fillId="0" borderId="26" xfId="0" applyNumberFormat="1" applyFont="1" applyFill="1" applyBorder="1" applyAlignment="1">
      <alignment horizontal="right"/>
    </xf>
    <xf numFmtId="39" fontId="12" fillId="0" borderId="27" xfId="0" applyNumberFormat="1" applyFont="1" applyFill="1" applyBorder="1" applyAlignment="1">
      <alignment horizontal="right"/>
    </xf>
    <xf numFmtId="39" fontId="17" fillId="0" borderId="28" xfId="0" applyNumberFormat="1" applyFont="1" applyFill="1" applyBorder="1" applyAlignment="1">
      <alignment/>
    </xf>
    <xf numFmtId="39" fontId="11" fillId="0" borderId="28" xfId="0" applyNumberFormat="1" applyFont="1" applyFill="1" applyBorder="1" applyAlignment="1">
      <alignment/>
    </xf>
    <xf numFmtId="0" fontId="17" fillId="0" borderId="28" xfId="0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39" fontId="17" fillId="0" borderId="16" xfId="0" applyNumberFormat="1" applyFont="1" applyFill="1" applyBorder="1" applyAlignment="1">
      <alignment/>
    </xf>
    <xf numFmtId="39" fontId="11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171" fontId="21" fillId="0" borderId="0" xfId="42" applyFont="1" applyFill="1" applyAlignment="1">
      <alignment/>
    </xf>
    <xf numFmtId="0" fontId="17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171" fontId="11" fillId="0" borderId="31" xfId="42" applyFont="1" applyFill="1" applyBorder="1" applyAlignment="1">
      <alignment/>
    </xf>
    <xf numFmtId="39" fontId="11" fillId="0" borderId="31" xfId="0" applyNumberFormat="1" applyFont="1" applyFill="1" applyBorder="1" applyAlignment="1">
      <alignment/>
    </xf>
    <xf numFmtId="0" fontId="0" fillId="34" borderId="0" xfId="0" applyFill="1" applyAlignment="1">
      <alignment/>
    </xf>
    <xf numFmtId="39" fontId="11" fillId="0" borderId="32" xfId="0" applyNumberFormat="1" applyFont="1" applyFill="1" applyBorder="1" applyAlignment="1">
      <alignment horizontal="right"/>
    </xf>
    <xf numFmtId="39" fontId="11" fillId="0" borderId="3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9" fontId="17" fillId="0" borderId="10" xfId="0" applyNumberFormat="1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171" fontId="17" fillId="0" borderId="23" xfId="42" applyFont="1" applyFill="1" applyBorder="1" applyAlignment="1">
      <alignment/>
    </xf>
    <xf numFmtId="39" fontId="17" fillId="0" borderId="23" xfId="0" applyNumberFormat="1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39" fontId="17" fillId="0" borderId="43" xfId="0" applyNumberFormat="1" applyFont="1" applyFill="1" applyBorder="1" applyAlignment="1">
      <alignment/>
    </xf>
    <xf numFmtId="0" fontId="17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/>
    </xf>
    <xf numFmtId="39" fontId="18" fillId="0" borderId="44" xfId="0" applyNumberFormat="1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2" fillId="0" borderId="37" xfId="0" applyFont="1" applyFill="1" applyBorder="1" applyAlignment="1">
      <alignment horizontal="left"/>
    </xf>
    <xf numFmtId="39" fontId="12" fillId="0" borderId="46" xfId="0" applyNumberFormat="1" applyFont="1" applyFill="1" applyBorder="1" applyAlignment="1">
      <alignment horizontal="right"/>
    </xf>
    <xf numFmtId="39" fontId="11" fillId="0" borderId="47" xfId="0" applyNumberFormat="1" applyFont="1" applyFill="1" applyBorder="1" applyAlignment="1">
      <alignment horizontal="right"/>
    </xf>
    <xf numFmtId="39" fontId="11" fillId="0" borderId="46" xfId="0" applyNumberFormat="1" applyFont="1" applyFill="1" applyBorder="1" applyAlignment="1">
      <alignment horizontal="right"/>
    </xf>
    <xf numFmtId="0" fontId="12" fillId="0" borderId="48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39" fontId="11" fillId="0" borderId="49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/>
    </xf>
    <xf numFmtId="39" fontId="12" fillId="0" borderId="52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9" fontId="26" fillId="0" borderId="10" xfId="0" applyNumberFormat="1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171" fontId="26" fillId="0" borderId="23" xfId="42" applyFont="1" applyFill="1" applyBorder="1" applyAlignment="1">
      <alignment/>
    </xf>
    <xf numFmtId="39" fontId="26" fillId="0" borderId="23" xfId="0" applyNumberFormat="1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39" fontId="26" fillId="0" borderId="43" xfId="0" applyNumberFormat="1" applyFont="1" applyFill="1" applyBorder="1" applyAlignment="1">
      <alignment/>
    </xf>
    <xf numFmtId="0" fontId="26" fillId="0" borderId="29" xfId="0" applyFont="1" applyFill="1" applyBorder="1" applyAlignment="1">
      <alignment horizontal="left"/>
    </xf>
    <xf numFmtId="39" fontId="26" fillId="0" borderId="24" xfId="0" applyNumberFormat="1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39" fontId="30" fillId="0" borderId="44" xfId="0" applyNumberFormat="1" applyFont="1" applyFill="1" applyBorder="1" applyAlignment="1">
      <alignment/>
    </xf>
    <xf numFmtId="171" fontId="26" fillId="0" borderId="31" xfId="42" applyFont="1" applyFill="1" applyBorder="1" applyAlignment="1">
      <alignment/>
    </xf>
    <xf numFmtId="39" fontId="26" fillId="0" borderId="31" xfId="0" applyNumberFormat="1" applyFont="1" applyFill="1" applyBorder="1" applyAlignment="1">
      <alignment/>
    </xf>
    <xf numFmtId="0" fontId="26" fillId="0" borderId="45" xfId="0" applyFont="1" applyFill="1" applyBorder="1" applyAlignment="1">
      <alignment/>
    </xf>
    <xf numFmtId="171" fontId="26" fillId="0" borderId="23" xfId="0" applyNumberFormat="1" applyFont="1" applyFill="1" applyBorder="1" applyAlignment="1">
      <alignment/>
    </xf>
    <xf numFmtId="0" fontId="29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/>
    </xf>
    <xf numFmtId="39" fontId="30" fillId="0" borderId="24" xfId="0" applyNumberFormat="1" applyFont="1" applyFill="1" applyBorder="1" applyAlignment="1">
      <alignment/>
    </xf>
    <xf numFmtId="0" fontId="30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 horizontal="left"/>
    </xf>
    <xf numFmtId="39" fontId="30" fillId="0" borderId="24" xfId="0" applyNumberFormat="1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39" fontId="26" fillId="0" borderId="23" xfId="0" applyNumberFormat="1" applyFont="1" applyFill="1" applyBorder="1" applyAlignment="1">
      <alignment horizontal="right"/>
    </xf>
    <xf numFmtId="39" fontId="26" fillId="0" borderId="24" xfId="0" applyNumberFormat="1" applyFont="1" applyFill="1" applyBorder="1" applyAlignment="1">
      <alignment horizontal="right"/>
    </xf>
    <xf numFmtId="39" fontId="26" fillId="0" borderId="32" xfId="0" applyNumberFormat="1" applyFont="1" applyFill="1" applyBorder="1" applyAlignment="1">
      <alignment horizontal="right"/>
    </xf>
    <xf numFmtId="39" fontId="30" fillId="0" borderId="23" xfId="0" applyNumberFormat="1" applyFont="1" applyFill="1" applyBorder="1" applyAlignment="1">
      <alignment horizontal="right"/>
    </xf>
    <xf numFmtId="39" fontId="30" fillId="0" borderId="24" xfId="0" applyNumberFormat="1" applyFont="1" applyFill="1" applyBorder="1" applyAlignment="1">
      <alignment horizontal="right"/>
    </xf>
    <xf numFmtId="39" fontId="26" fillId="0" borderId="33" xfId="0" applyNumberFormat="1" applyFont="1" applyFill="1" applyBorder="1" applyAlignment="1">
      <alignment horizontal="right"/>
    </xf>
    <xf numFmtId="39" fontId="26" fillId="0" borderId="25" xfId="0" applyNumberFormat="1" applyFont="1" applyFill="1" applyBorder="1" applyAlignment="1">
      <alignment horizontal="right"/>
    </xf>
    <xf numFmtId="0" fontId="30" fillId="0" borderId="37" xfId="0" applyFont="1" applyFill="1" applyBorder="1" applyAlignment="1">
      <alignment horizontal="left"/>
    </xf>
    <xf numFmtId="39" fontId="30" fillId="0" borderId="18" xfId="0" applyNumberFormat="1" applyFont="1" applyFill="1" applyBorder="1" applyAlignment="1">
      <alignment horizontal="right"/>
    </xf>
    <xf numFmtId="39" fontId="30" fillId="0" borderId="46" xfId="0" applyNumberFormat="1" applyFont="1" applyFill="1" applyBorder="1" applyAlignment="1">
      <alignment horizontal="right"/>
    </xf>
    <xf numFmtId="39" fontId="26" fillId="0" borderId="11" xfId="0" applyNumberFormat="1" applyFont="1" applyFill="1" applyBorder="1" applyAlignment="1">
      <alignment horizontal="right"/>
    </xf>
    <xf numFmtId="39" fontId="26" fillId="0" borderId="47" xfId="0" applyNumberFormat="1" applyFont="1" applyFill="1" applyBorder="1" applyAlignment="1">
      <alignment horizontal="right"/>
    </xf>
    <xf numFmtId="39" fontId="26" fillId="0" borderId="46" xfId="0" applyNumberFormat="1" applyFont="1" applyFill="1" applyBorder="1" applyAlignment="1">
      <alignment horizontal="right"/>
    </xf>
    <xf numFmtId="0" fontId="30" fillId="0" borderId="48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/>
    </xf>
    <xf numFmtId="39" fontId="26" fillId="0" borderId="26" xfId="0" applyNumberFormat="1" applyFont="1" applyFill="1" applyBorder="1" applyAlignment="1">
      <alignment horizontal="right"/>
    </xf>
    <xf numFmtId="39" fontId="26" fillId="0" borderId="49" xfId="0" applyNumberFormat="1" applyFont="1" applyFill="1" applyBorder="1" applyAlignment="1">
      <alignment horizontal="right"/>
    </xf>
    <xf numFmtId="0" fontId="30" fillId="0" borderId="50" xfId="0" applyFont="1" applyFill="1" applyBorder="1" applyAlignment="1">
      <alignment horizontal="left"/>
    </xf>
    <xf numFmtId="0" fontId="26" fillId="0" borderId="51" xfId="0" applyFont="1" applyFill="1" applyBorder="1" applyAlignment="1">
      <alignment horizontal="center"/>
    </xf>
    <xf numFmtId="39" fontId="30" fillId="0" borderId="27" xfId="0" applyNumberFormat="1" applyFont="1" applyFill="1" applyBorder="1" applyAlignment="1">
      <alignment horizontal="right"/>
    </xf>
    <xf numFmtId="39" fontId="30" fillId="0" borderId="52" xfId="0" applyNumberFormat="1" applyFont="1" applyFill="1" applyBorder="1" applyAlignment="1">
      <alignment horizontal="right"/>
    </xf>
    <xf numFmtId="0" fontId="26" fillId="0" borderId="28" xfId="0" applyFont="1" applyFill="1" applyBorder="1" applyAlignment="1">
      <alignment horizontal="center"/>
    </xf>
    <xf numFmtId="39" fontId="26" fillId="0" borderId="28" xfId="0" applyNumberFormat="1" applyFont="1" applyFill="1" applyBorder="1" applyAlignment="1">
      <alignment/>
    </xf>
    <xf numFmtId="39" fontId="30" fillId="0" borderId="0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0" applyNumberFormat="1" applyFill="1" applyAlignment="1">
      <alignment/>
    </xf>
    <xf numFmtId="39" fontId="30" fillId="0" borderId="0" xfId="0" applyNumberFormat="1" applyFont="1" applyFill="1" applyBorder="1" applyAlignment="1">
      <alignment horizontal="left"/>
    </xf>
    <xf numFmtId="39" fontId="26" fillId="0" borderId="0" xfId="0" applyNumberFormat="1" applyFont="1" applyFill="1" applyBorder="1" applyAlignment="1">
      <alignment horizontal="right"/>
    </xf>
    <xf numFmtId="39" fontId="30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34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42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39" fontId="33" fillId="0" borderId="10" xfId="0" applyNumberFormat="1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3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171" fontId="33" fillId="0" borderId="23" xfId="42" applyFont="1" applyFill="1" applyBorder="1" applyAlignment="1">
      <alignment/>
    </xf>
    <xf numFmtId="39" fontId="33" fillId="0" borderId="23" xfId="0" applyNumberFormat="1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39" fontId="33" fillId="0" borderId="43" xfId="0" applyNumberFormat="1" applyFont="1" applyFill="1" applyBorder="1" applyAlignment="1">
      <alignment/>
    </xf>
    <xf numFmtId="39" fontId="33" fillId="0" borderId="32" xfId="0" applyNumberFormat="1" applyFont="1" applyFill="1" applyBorder="1" applyAlignment="1">
      <alignment/>
    </xf>
    <xf numFmtId="171" fontId="33" fillId="0" borderId="54" xfId="42" applyFont="1" applyFill="1" applyBorder="1" applyAlignment="1">
      <alignment/>
    </xf>
    <xf numFmtId="0" fontId="33" fillId="0" borderId="29" xfId="0" applyFont="1" applyFill="1" applyBorder="1" applyAlignment="1">
      <alignment horizontal="left"/>
    </xf>
    <xf numFmtId="39" fontId="33" fillId="0" borderId="24" xfId="0" applyNumberFormat="1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39" fontId="37" fillId="0" borderId="44" xfId="0" applyNumberFormat="1" applyFont="1" applyFill="1" applyBorder="1" applyAlignment="1">
      <alignment/>
    </xf>
    <xf numFmtId="171" fontId="33" fillId="0" borderId="31" xfId="42" applyFont="1" applyFill="1" applyBorder="1" applyAlignment="1">
      <alignment/>
    </xf>
    <xf numFmtId="39" fontId="33" fillId="0" borderId="31" xfId="0" applyNumberFormat="1" applyFont="1" applyFill="1" applyBorder="1" applyAlignment="1">
      <alignment/>
    </xf>
    <xf numFmtId="0" fontId="33" fillId="0" borderId="45" xfId="0" applyFont="1" applyFill="1" applyBorder="1" applyAlignment="1">
      <alignment/>
    </xf>
    <xf numFmtId="171" fontId="33" fillId="0" borderId="23" xfId="0" applyNumberFormat="1" applyFont="1" applyFill="1" applyBorder="1" applyAlignment="1">
      <alignment/>
    </xf>
    <xf numFmtId="39" fontId="33" fillId="0" borderId="0" xfId="0" applyNumberFormat="1" applyFont="1" applyFill="1" applyBorder="1" applyAlignment="1">
      <alignment/>
    </xf>
    <xf numFmtId="0" fontId="36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/>
    </xf>
    <xf numFmtId="39" fontId="37" fillId="0" borderId="24" xfId="0" applyNumberFormat="1" applyFont="1" applyFill="1" applyBorder="1" applyAlignment="1">
      <alignment/>
    </xf>
    <xf numFmtId="39" fontId="37" fillId="0" borderId="0" xfId="0" applyNumberFormat="1" applyFont="1" applyFill="1" applyBorder="1" applyAlignment="1">
      <alignment/>
    </xf>
    <xf numFmtId="0" fontId="37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 horizontal="left"/>
    </xf>
    <xf numFmtId="39" fontId="37" fillId="0" borderId="24" xfId="0" applyNumberFormat="1" applyFont="1" applyFill="1" applyBorder="1" applyAlignment="1">
      <alignment horizontal="left"/>
    </xf>
    <xf numFmtId="39" fontId="37" fillId="0" borderId="0" xfId="0" applyNumberFormat="1" applyFont="1" applyFill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39" fontId="33" fillId="0" borderId="23" xfId="0" applyNumberFormat="1" applyFont="1" applyFill="1" applyBorder="1" applyAlignment="1">
      <alignment horizontal="right"/>
    </xf>
    <xf numFmtId="39" fontId="33" fillId="0" borderId="24" xfId="0" applyNumberFormat="1" applyFont="1" applyFill="1" applyBorder="1" applyAlignment="1">
      <alignment horizontal="right"/>
    </xf>
    <xf numFmtId="39" fontId="33" fillId="0" borderId="0" xfId="0" applyNumberFormat="1" applyFont="1" applyFill="1" applyBorder="1" applyAlignment="1">
      <alignment horizontal="right"/>
    </xf>
    <xf numFmtId="39" fontId="33" fillId="0" borderId="32" xfId="0" applyNumberFormat="1" applyFont="1" applyFill="1" applyBorder="1" applyAlignment="1">
      <alignment horizontal="right"/>
    </xf>
    <xf numFmtId="39" fontId="37" fillId="0" borderId="23" xfId="0" applyNumberFormat="1" applyFont="1" applyFill="1" applyBorder="1" applyAlignment="1">
      <alignment horizontal="right"/>
    </xf>
    <xf numFmtId="39" fontId="37" fillId="0" borderId="24" xfId="0" applyNumberFormat="1" applyFont="1" applyFill="1" applyBorder="1" applyAlignment="1">
      <alignment horizontal="right"/>
    </xf>
    <xf numFmtId="39" fontId="37" fillId="0" borderId="0" xfId="0" applyNumberFormat="1" applyFont="1" applyFill="1" applyBorder="1" applyAlignment="1">
      <alignment horizontal="right"/>
    </xf>
    <xf numFmtId="39" fontId="33" fillId="0" borderId="33" xfId="0" applyNumberFormat="1" applyFont="1" applyFill="1" applyBorder="1" applyAlignment="1">
      <alignment horizontal="right"/>
    </xf>
    <xf numFmtId="39" fontId="33" fillId="0" borderId="25" xfId="0" applyNumberFormat="1" applyFont="1" applyFill="1" applyBorder="1" applyAlignment="1">
      <alignment horizontal="right"/>
    </xf>
    <xf numFmtId="0" fontId="37" fillId="0" borderId="37" xfId="0" applyFont="1" applyFill="1" applyBorder="1" applyAlignment="1">
      <alignment horizontal="left"/>
    </xf>
    <xf numFmtId="39" fontId="37" fillId="0" borderId="18" xfId="0" applyNumberFormat="1" applyFont="1" applyFill="1" applyBorder="1" applyAlignment="1">
      <alignment horizontal="right"/>
    </xf>
    <xf numFmtId="39" fontId="37" fillId="0" borderId="46" xfId="0" applyNumberFormat="1" applyFont="1" applyFill="1" applyBorder="1" applyAlignment="1">
      <alignment horizontal="right"/>
    </xf>
    <xf numFmtId="39" fontId="33" fillId="0" borderId="11" xfId="0" applyNumberFormat="1" applyFont="1" applyFill="1" applyBorder="1" applyAlignment="1">
      <alignment horizontal="right"/>
    </xf>
    <xf numFmtId="39" fontId="33" fillId="0" borderId="47" xfId="0" applyNumberFormat="1" applyFont="1" applyFill="1" applyBorder="1" applyAlignment="1">
      <alignment horizontal="right"/>
    </xf>
    <xf numFmtId="39" fontId="33" fillId="0" borderId="46" xfId="0" applyNumberFormat="1" applyFont="1" applyFill="1" applyBorder="1" applyAlignment="1">
      <alignment horizontal="right"/>
    </xf>
    <xf numFmtId="0" fontId="37" fillId="0" borderId="48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left"/>
    </xf>
    <xf numFmtId="39" fontId="33" fillId="0" borderId="26" xfId="0" applyNumberFormat="1" applyFont="1" applyFill="1" applyBorder="1" applyAlignment="1">
      <alignment horizontal="right"/>
    </xf>
    <xf numFmtId="39" fontId="33" fillId="0" borderId="49" xfId="0" applyNumberFormat="1" applyFont="1" applyFill="1" applyBorder="1" applyAlignment="1">
      <alignment horizontal="right"/>
    </xf>
    <xf numFmtId="0" fontId="37" fillId="0" borderId="50" xfId="0" applyFont="1" applyFill="1" applyBorder="1" applyAlignment="1">
      <alignment horizontal="left"/>
    </xf>
    <xf numFmtId="0" fontId="33" fillId="0" borderId="51" xfId="0" applyFont="1" applyFill="1" applyBorder="1" applyAlignment="1">
      <alignment horizontal="center"/>
    </xf>
    <xf numFmtId="39" fontId="37" fillId="0" borderId="27" xfId="0" applyNumberFormat="1" applyFont="1" applyFill="1" applyBorder="1" applyAlignment="1">
      <alignment horizontal="right"/>
    </xf>
    <xf numFmtId="39" fontId="37" fillId="0" borderId="52" xfId="0" applyNumberFormat="1" applyFont="1" applyFill="1" applyBorder="1" applyAlignment="1">
      <alignment horizontal="right"/>
    </xf>
    <xf numFmtId="0" fontId="33" fillId="0" borderId="28" xfId="0" applyFont="1" applyFill="1" applyBorder="1" applyAlignment="1">
      <alignment horizontal="center"/>
    </xf>
    <xf numFmtId="39" fontId="33" fillId="0" borderId="28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55" xfId="0" applyFont="1" applyFill="1" applyBorder="1" applyAlignment="1">
      <alignment horizontal="center"/>
    </xf>
    <xf numFmtId="171" fontId="1" fillId="0" borderId="0" xfId="42" applyFont="1" applyFill="1" applyAlignment="1">
      <alignment/>
    </xf>
    <xf numFmtId="171" fontId="1" fillId="0" borderId="0" xfId="42" applyFont="1" applyAlignment="1">
      <alignment/>
    </xf>
    <xf numFmtId="171" fontId="1" fillId="34" borderId="0" xfId="42" applyFont="1" applyFill="1" applyAlignment="1">
      <alignment/>
    </xf>
    <xf numFmtId="171" fontId="22" fillId="0" borderId="0" xfId="42" applyFont="1" applyAlignment="1">
      <alignment/>
    </xf>
    <xf numFmtId="39" fontId="39" fillId="0" borderId="24" xfId="0" applyNumberFormat="1" applyFont="1" applyFill="1" applyBorder="1" applyAlignment="1">
      <alignment horizontal="right"/>
    </xf>
    <xf numFmtId="171" fontId="40" fillId="0" borderId="0" xfId="42" applyFont="1" applyAlignment="1">
      <alignment/>
    </xf>
    <xf numFmtId="39" fontId="41" fillId="0" borderId="44" xfId="0" applyNumberFormat="1" applyFont="1" applyFill="1" applyBorder="1" applyAlignment="1">
      <alignment/>
    </xf>
    <xf numFmtId="39" fontId="33" fillId="35" borderId="24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23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56" xfId="0" applyNumberFormat="1" applyFont="1" applyFill="1" applyBorder="1" applyAlignment="1">
      <alignment/>
    </xf>
    <xf numFmtId="39" fontId="30" fillId="0" borderId="31" xfId="0" applyNumberFormat="1" applyFont="1" applyFill="1" applyBorder="1" applyAlignment="1">
      <alignment horizontal="right"/>
    </xf>
    <xf numFmtId="39" fontId="30" fillId="0" borderId="45" xfId="0" applyNumberFormat="1" applyFont="1" applyFill="1" applyBorder="1" applyAlignment="1">
      <alignment horizontal="right"/>
    </xf>
    <xf numFmtId="39" fontId="26" fillId="0" borderId="57" xfId="0" applyNumberFormat="1" applyFont="1" applyFill="1" applyBorder="1" applyAlignment="1">
      <alignment horizontal="right"/>
    </xf>
    <xf numFmtId="0" fontId="30" fillId="0" borderId="34" xfId="0" applyFont="1" applyFill="1" applyBorder="1" applyAlignment="1">
      <alignment/>
    </xf>
    <xf numFmtId="0" fontId="30" fillId="0" borderId="35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39" fontId="26" fillId="0" borderId="10" xfId="0" applyNumberFormat="1" applyFont="1" applyFill="1" applyBorder="1" applyAlignment="1">
      <alignment horizontal="right"/>
    </xf>
    <xf numFmtId="39" fontId="26" fillId="0" borderId="58" xfId="0" applyNumberFormat="1" applyFont="1" applyFill="1" applyBorder="1" applyAlignment="1">
      <alignment horizontal="right"/>
    </xf>
    <xf numFmtId="0" fontId="30" fillId="0" borderId="59" xfId="0" applyFont="1" applyFill="1" applyBorder="1" applyAlignment="1">
      <alignment horizontal="left"/>
    </xf>
    <xf numFmtId="39" fontId="30" fillId="0" borderId="11" xfId="0" applyNumberFormat="1" applyFont="1" applyFill="1" applyBorder="1" applyAlignment="1">
      <alignment horizontal="right"/>
    </xf>
    <xf numFmtId="39" fontId="30" fillId="0" borderId="51" xfId="0" applyNumberFormat="1" applyFont="1" applyFill="1" applyBorder="1" applyAlignment="1">
      <alignment horizontal="right"/>
    </xf>
    <xf numFmtId="39" fontId="30" fillId="0" borderId="6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left"/>
    </xf>
    <xf numFmtId="39" fontId="30" fillId="0" borderId="25" xfId="0" applyNumberFormat="1" applyFont="1" applyFill="1" applyBorder="1" applyAlignment="1">
      <alignment horizontal="right"/>
    </xf>
    <xf numFmtId="39" fontId="30" fillId="0" borderId="57" xfId="0" applyNumberFormat="1" applyFont="1" applyFill="1" applyBorder="1" applyAlignment="1">
      <alignment horizontal="right"/>
    </xf>
    <xf numFmtId="39" fontId="26" fillId="0" borderId="0" xfId="0" applyNumberFormat="1" applyFont="1" applyFill="1" applyBorder="1" applyAlignment="1">
      <alignment horizontal="center"/>
    </xf>
    <xf numFmtId="171" fontId="26" fillId="0" borderId="23" xfId="0" applyNumberFormat="1" applyFont="1" applyFill="1" applyBorder="1" applyAlignment="1">
      <alignment horizontal="right"/>
    </xf>
    <xf numFmtId="171" fontId="26" fillId="0" borderId="25" xfId="0" applyNumberFormat="1" applyFont="1" applyFill="1" applyBorder="1" applyAlignment="1">
      <alignment horizontal="right"/>
    </xf>
    <xf numFmtId="171" fontId="0" fillId="34" borderId="0" xfId="42" applyFont="1" applyFill="1" applyAlignment="1">
      <alignment/>
    </xf>
    <xf numFmtId="171" fontId="0" fillId="0" borderId="0" xfId="42" applyFont="1" applyAlignment="1">
      <alignment/>
    </xf>
    <xf numFmtId="0" fontId="21" fillId="0" borderId="0" xfId="58" applyFont="1" applyFill="1">
      <alignment/>
      <protection/>
    </xf>
    <xf numFmtId="0" fontId="26" fillId="0" borderId="0" xfId="58" applyFont="1" applyFill="1" applyBorder="1" applyAlignment="1">
      <alignment/>
      <protection/>
    </xf>
    <xf numFmtId="0" fontId="26" fillId="0" borderId="0" xfId="58" applyFont="1" applyFill="1" applyBorder="1">
      <alignment/>
      <protection/>
    </xf>
    <xf numFmtId="0" fontId="26" fillId="0" borderId="0" xfId="58" applyFont="1" applyFill="1" applyBorder="1" applyAlignment="1">
      <alignment horizontal="center"/>
      <protection/>
    </xf>
    <xf numFmtId="0" fontId="26" fillId="0" borderId="34" xfId="58" applyFont="1" applyFill="1" applyBorder="1">
      <alignment/>
      <protection/>
    </xf>
    <xf numFmtId="0" fontId="26" fillId="0" borderId="35" xfId="58" applyFont="1" applyFill="1" applyBorder="1" applyAlignment="1">
      <alignment horizontal="center"/>
      <protection/>
    </xf>
    <xf numFmtId="0" fontId="26" fillId="0" borderId="28" xfId="58" applyFont="1" applyFill="1" applyBorder="1">
      <alignment/>
      <protection/>
    </xf>
    <xf numFmtId="0" fontId="26" fillId="0" borderId="37" xfId="58" applyFont="1" applyFill="1" applyBorder="1">
      <alignment/>
      <protection/>
    </xf>
    <xf numFmtId="0" fontId="26" fillId="0" borderId="11" xfId="58" applyFont="1" applyFill="1" applyBorder="1" applyAlignment="1">
      <alignment horizontal="center"/>
      <protection/>
    </xf>
    <xf numFmtId="0" fontId="26" fillId="0" borderId="13" xfId="58" applyFont="1" applyFill="1" applyBorder="1" applyAlignment="1">
      <alignment horizontal="center"/>
      <protection/>
    </xf>
    <xf numFmtId="0" fontId="26" fillId="0" borderId="37" xfId="58" applyFont="1" applyFill="1" applyBorder="1" applyAlignment="1">
      <alignment horizontal="center"/>
      <protection/>
    </xf>
    <xf numFmtId="0" fontId="26" fillId="0" borderId="47" xfId="58" applyFont="1" applyFill="1" applyBorder="1" applyAlignment="1">
      <alignment horizontal="center"/>
      <protection/>
    </xf>
    <xf numFmtId="0" fontId="26" fillId="0" borderId="40" xfId="58" applyFont="1" applyFill="1" applyBorder="1" applyAlignment="1">
      <alignment horizontal="center"/>
      <protection/>
    </xf>
    <xf numFmtId="0" fontId="26" fillId="0" borderId="18" xfId="58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60" fillId="0" borderId="0" xfId="58" applyFont="1" applyFill="1">
      <alignment/>
      <protection/>
    </xf>
    <xf numFmtId="0" fontId="26" fillId="0" borderId="42" xfId="58" applyFont="1" applyFill="1" applyBorder="1">
      <alignment/>
      <protection/>
    </xf>
    <xf numFmtId="0" fontId="26" fillId="0" borderId="10" xfId="58" applyFont="1" applyFill="1" applyBorder="1" applyAlignment="1">
      <alignment horizontal="center"/>
      <protection/>
    </xf>
    <xf numFmtId="0" fontId="26" fillId="0" borderId="15" xfId="58" applyFont="1" applyFill="1" applyBorder="1">
      <alignment/>
      <protection/>
    </xf>
    <xf numFmtId="0" fontId="26" fillId="0" borderId="10" xfId="58" applyFont="1" applyFill="1" applyBorder="1">
      <alignment/>
      <protection/>
    </xf>
    <xf numFmtId="171" fontId="26" fillId="0" borderId="10" xfId="44" applyFont="1" applyFill="1" applyBorder="1" applyAlignment="1">
      <alignment/>
    </xf>
    <xf numFmtId="0" fontId="29" fillId="0" borderId="29" xfId="58" applyFont="1" applyFill="1" applyBorder="1">
      <alignment/>
      <protection/>
    </xf>
    <xf numFmtId="0" fontId="26" fillId="0" borderId="23" xfId="58" applyFont="1" applyFill="1" applyBorder="1" applyAlignment="1">
      <alignment horizontal="center"/>
      <protection/>
    </xf>
    <xf numFmtId="0" fontId="26" fillId="0" borderId="23" xfId="58" applyFont="1" applyFill="1" applyBorder="1">
      <alignment/>
      <protection/>
    </xf>
    <xf numFmtId="171" fontId="26" fillId="0" borderId="23" xfId="44" applyFont="1" applyFill="1" applyBorder="1" applyAlignment="1">
      <alignment/>
    </xf>
    <xf numFmtId="0" fontId="26" fillId="0" borderId="29" xfId="58" applyFont="1" applyFill="1" applyBorder="1">
      <alignment/>
      <protection/>
    </xf>
    <xf numFmtId="39" fontId="26" fillId="0" borderId="23" xfId="58" applyNumberFormat="1" applyFont="1" applyFill="1" applyBorder="1">
      <alignment/>
      <protection/>
    </xf>
    <xf numFmtId="0" fontId="26" fillId="0" borderId="30" xfId="58" applyFont="1" applyFill="1" applyBorder="1">
      <alignment/>
      <protection/>
    </xf>
    <xf numFmtId="0" fontId="26" fillId="0" borderId="61" xfId="58" applyFont="1" applyFill="1" applyBorder="1">
      <alignment/>
      <protection/>
    </xf>
    <xf numFmtId="39" fontId="26" fillId="0" borderId="61" xfId="58" applyNumberFormat="1" applyFont="1" applyFill="1" applyBorder="1">
      <alignment/>
      <protection/>
    </xf>
    <xf numFmtId="0" fontId="30" fillId="0" borderId="62" xfId="58" applyFont="1" applyFill="1" applyBorder="1">
      <alignment/>
      <protection/>
    </xf>
    <xf numFmtId="0" fontId="26" fillId="0" borderId="61" xfId="58" applyFont="1" applyFill="1" applyBorder="1" applyAlignment="1">
      <alignment horizontal="center"/>
      <protection/>
    </xf>
    <xf numFmtId="39" fontId="30" fillId="0" borderId="51" xfId="58" applyNumberFormat="1" applyFont="1" applyFill="1" applyBorder="1">
      <alignment/>
      <protection/>
    </xf>
    <xf numFmtId="0" fontId="30" fillId="0" borderId="29" xfId="58" applyFont="1" applyFill="1" applyBorder="1">
      <alignment/>
      <protection/>
    </xf>
    <xf numFmtId="0" fontId="26" fillId="0" borderId="31" xfId="58" applyFont="1" applyFill="1" applyBorder="1">
      <alignment/>
      <protection/>
    </xf>
    <xf numFmtId="39" fontId="26" fillId="0" borderId="31" xfId="58" applyNumberFormat="1" applyFont="1" applyFill="1" applyBorder="1">
      <alignment/>
      <protection/>
    </xf>
    <xf numFmtId="0" fontId="26" fillId="0" borderId="59" xfId="58" applyFont="1" applyFill="1" applyBorder="1">
      <alignment/>
      <protection/>
    </xf>
    <xf numFmtId="0" fontId="26" fillId="0" borderId="63" xfId="58" applyFont="1" applyFill="1" applyBorder="1">
      <alignment/>
      <protection/>
    </xf>
    <xf numFmtId="0" fontId="30" fillId="0" borderId="64" xfId="58" applyFont="1" applyFill="1" applyBorder="1">
      <alignment/>
      <protection/>
    </xf>
    <xf numFmtId="0" fontId="26" fillId="0" borderId="31" xfId="58" applyFont="1" applyFill="1" applyBorder="1" applyAlignment="1">
      <alignment horizontal="center"/>
      <protection/>
    </xf>
    <xf numFmtId="39" fontId="30" fillId="0" borderId="31" xfId="58" applyNumberFormat="1" applyFont="1" applyFill="1" applyBorder="1">
      <alignment/>
      <protection/>
    </xf>
    <xf numFmtId="0" fontId="30" fillId="0" borderId="30" xfId="58" applyFont="1" applyFill="1" applyBorder="1">
      <alignment/>
      <protection/>
    </xf>
    <xf numFmtId="0" fontId="26" fillId="0" borderId="30" xfId="58" applyFont="1" applyFill="1" applyBorder="1" applyAlignment="1">
      <alignment wrapText="1"/>
      <protection/>
    </xf>
    <xf numFmtId="0" fontId="30" fillId="0" borderId="23" xfId="58" applyFont="1" applyFill="1" applyBorder="1" applyAlignment="1">
      <alignment horizontal="center"/>
      <protection/>
    </xf>
    <xf numFmtId="0" fontId="30" fillId="0" borderId="23" xfId="58" applyFont="1" applyFill="1" applyBorder="1">
      <alignment/>
      <protection/>
    </xf>
    <xf numFmtId="39" fontId="30" fillId="0" borderId="23" xfId="58" applyNumberFormat="1" applyFont="1" applyFill="1" applyBorder="1">
      <alignment/>
      <protection/>
    </xf>
    <xf numFmtId="39" fontId="26" fillId="0" borderId="0" xfId="58" applyNumberFormat="1" applyFont="1" applyFill="1" applyBorder="1">
      <alignment/>
      <protection/>
    </xf>
    <xf numFmtId="0" fontId="29" fillId="0" borderId="65" xfId="58" applyFont="1" applyFill="1" applyBorder="1">
      <alignment/>
      <protection/>
    </xf>
    <xf numFmtId="0" fontId="30" fillId="0" borderId="66" xfId="58" applyFont="1" applyFill="1" applyBorder="1">
      <alignment/>
      <protection/>
    </xf>
    <xf numFmtId="0" fontId="26" fillId="0" borderId="67" xfId="58" applyFont="1" applyFill="1" applyBorder="1" applyAlignment="1">
      <alignment horizontal="center"/>
      <protection/>
    </xf>
    <xf numFmtId="0" fontId="26" fillId="0" borderId="67" xfId="58" applyFont="1" applyFill="1" applyBorder="1">
      <alignment/>
      <protection/>
    </xf>
    <xf numFmtId="39" fontId="30" fillId="0" borderId="67" xfId="58" applyNumberFormat="1" applyFont="1" applyFill="1" applyBorder="1">
      <alignment/>
      <protection/>
    </xf>
    <xf numFmtId="171" fontId="21" fillId="0" borderId="0" xfId="44" applyFont="1" applyFill="1" applyAlignment="1">
      <alignment/>
    </xf>
    <xf numFmtId="39" fontId="21" fillId="0" borderId="0" xfId="58" applyNumberFormat="1" applyFont="1" applyFill="1">
      <alignment/>
      <protection/>
    </xf>
    <xf numFmtId="0" fontId="30" fillId="0" borderId="68" xfId="58" applyFont="1" applyFill="1" applyBorder="1">
      <alignment/>
      <protection/>
    </xf>
    <xf numFmtId="0" fontId="30" fillId="0" borderId="33" xfId="58" applyFont="1" applyFill="1" applyBorder="1" applyAlignment="1">
      <alignment horizontal="center"/>
      <protection/>
    </xf>
    <xf numFmtId="0" fontId="30" fillId="0" borderId="33" xfId="58" applyFont="1" applyFill="1" applyBorder="1">
      <alignment/>
      <protection/>
    </xf>
    <xf numFmtId="39" fontId="30" fillId="0" borderId="33" xfId="58" applyNumberFormat="1" applyFont="1" applyFill="1" applyBorder="1">
      <alignment/>
      <protection/>
    </xf>
    <xf numFmtId="0" fontId="30" fillId="0" borderId="26" xfId="58" applyFont="1" applyFill="1" applyBorder="1">
      <alignment/>
      <protection/>
    </xf>
    <xf numFmtId="0" fontId="26" fillId="0" borderId="26" xfId="58" applyFont="1" applyFill="1" applyBorder="1" applyAlignment="1">
      <alignment horizontal="center"/>
      <protection/>
    </xf>
    <xf numFmtId="0" fontId="26" fillId="0" borderId="26" xfId="58" applyFont="1" applyFill="1" applyBorder="1">
      <alignment/>
      <protection/>
    </xf>
    <xf numFmtId="39" fontId="30" fillId="0" borderId="26" xfId="58" applyNumberFormat="1" applyFont="1" applyFill="1" applyBorder="1">
      <alignment/>
      <protection/>
    </xf>
    <xf numFmtId="0" fontId="26" fillId="0" borderId="69" xfId="58" applyFont="1" applyFill="1" applyBorder="1">
      <alignment/>
      <protection/>
    </xf>
    <xf numFmtId="171" fontId="61" fillId="0" borderId="26" xfId="42" applyFont="1" applyFill="1" applyBorder="1" applyAlignment="1">
      <alignment horizontal="center" vertical="center" wrapText="1"/>
    </xf>
    <xf numFmtId="171" fontId="61" fillId="0" borderId="10" xfId="42" applyFont="1" applyFill="1" applyBorder="1" applyAlignment="1">
      <alignment horizontal="center" vertical="center" wrapText="1"/>
    </xf>
    <xf numFmtId="171" fontId="61" fillId="0" borderId="11" xfId="42" applyFont="1" applyFill="1" applyBorder="1" applyAlignment="1">
      <alignment horizontal="center" vertical="center" wrapText="1"/>
    </xf>
    <xf numFmtId="171" fontId="61" fillId="0" borderId="70" xfId="42" applyFont="1" applyFill="1" applyBorder="1" applyAlignment="1">
      <alignment horizontal="center" vertical="center" wrapText="1"/>
    </xf>
    <xf numFmtId="171" fontId="62" fillId="0" borderId="71" xfId="0" applyNumberFormat="1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2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 quotePrefix="1">
      <alignment horizontal="center" vertical="center" wrapText="1"/>
    </xf>
    <xf numFmtId="0" fontId="61" fillId="0" borderId="11" xfId="0" applyFont="1" applyFill="1" applyBorder="1" applyAlignment="1" quotePrefix="1">
      <alignment horizontal="center" vertical="center" wrapText="1"/>
    </xf>
    <xf numFmtId="49" fontId="61" fillId="0" borderId="70" xfId="0" applyNumberFormat="1" applyFont="1" applyFill="1" applyBorder="1" applyAlignment="1" quotePrefix="1">
      <alignment horizontal="center" vertical="center" wrapText="1"/>
    </xf>
    <xf numFmtId="49" fontId="61" fillId="0" borderId="26" xfId="0" applyNumberFormat="1" applyFont="1" applyFill="1" applyBorder="1" applyAlignment="1">
      <alignment horizontal="center" vertical="center" wrapText="1"/>
    </xf>
    <xf numFmtId="49" fontId="61" fillId="0" borderId="72" xfId="0" applyNumberFormat="1" applyFont="1" applyFill="1" applyBorder="1" applyAlignment="1">
      <alignment horizontal="center" vertical="center" wrapText="1"/>
    </xf>
    <xf numFmtId="49" fontId="61" fillId="0" borderId="26" xfId="0" applyNumberFormat="1" applyFont="1" applyFill="1" applyBorder="1" applyAlignment="1" quotePrefix="1">
      <alignment horizontal="center" vertical="center" wrapText="1"/>
    </xf>
    <xf numFmtId="0" fontId="62" fillId="0" borderId="71" xfId="0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0" fontId="82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14" fontId="61" fillId="0" borderId="26" xfId="0" applyNumberFormat="1" applyFont="1" applyFill="1" applyBorder="1" applyAlignment="1">
      <alignment horizontal="center" vertical="center" wrapText="1"/>
    </xf>
    <xf numFmtId="171" fontId="61" fillId="0" borderId="26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83" fillId="0" borderId="0" xfId="0" applyFont="1" applyAlignment="1">
      <alignment/>
    </xf>
    <xf numFmtId="171" fontId="61" fillId="0" borderId="0" xfId="0" applyNumberFormat="1" applyFont="1" applyFill="1" applyBorder="1" applyAlignment="1">
      <alignment/>
    </xf>
    <xf numFmtId="0" fontId="61" fillId="0" borderId="11" xfId="0" applyFont="1" applyFill="1" applyBorder="1" applyAlignment="1">
      <alignment horizontal="center" vertical="center" wrapText="1"/>
    </xf>
    <xf numFmtId="171" fontId="61" fillId="0" borderId="13" xfId="42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75" xfId="0" applyFont="1" applyFill="1" applyBorder="1" applyAlignment="1">
      <alignment horizontal="center"/>
    </xf>
    <xf numFmtId="0" fontId="33" fillId="0" borderId="7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 horizontal="center"/>
    </xf>
    <xf numFmtId="0" fontId="30" fillId="0" borderId="73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/>
    </xf>
    <xf numFmtId="0" fontId="27" fillId="0" borderId="0" xfId="58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 horizontal="center"/>
      <protection/>
    </xf>
    <xf numFmtId="0" fontId="26" fillId="0" borderId="35" xfId="58" applyFont="1" applyFill="1" applyBorder="1" applyAlignment="1">
      <alignment horizontal="center"/>
      <protection/>
    </xf>
    <xf numFmtId="0" fontId="26" fillId="0" borderId="11" xfId="58" applyFont="1" applyFill="1" applyBorder="1" applyAlignment="1">
      <alignment horizontal="center"/>
      <protection/>
    </xf>
    <xf numFmtId="0" fontId="26" fillId="0" borderId="14" xfId="58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26" fillId="0" borderId="21" xfId="58" applyFont="1" applyFill="1" applyBorder="1" applyAlignment="1">
      <alignment horizontal="center"/>
      <protection/>
    </xf>
    <xf numFmtId="0" fontId="8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76" xfId="0" applyFont="1" applyFill="1" applyBorder="1" applyAlignment="1">
      <alignment horizontal="center" vertical="center" wrapText="1"/>
    </xf>
    <xf numFmtId="0" fontId="61" fillId="0" borderId="7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190500</xdr:rowOff>
    </xdr:from>
    <xdr:to>
      <xdr:col>10</xdr:col>
      <xdr:colOff>704850</xdr:colOff>
      <xdr:row>23</xdr:row>
      <xdr:rowOff>19050</xdr:rowOff>
    </xdr:to>
    <xdr:pic>
      <xdr:nvPicPr>
        <xdr:cNvPr id="1" name="Picture 3" descr="bayron s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529590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20</xdr:row>
      <xdr:rowOff>0</xdr:rowOff>
    </xdr:from>
    <xdr:to>
      <xdr:col>6</xdr:col>
      <xdr:colOff>352425</xdr:colOff>
      <xdr:row>23</xdr:row>
      <xdr:rowOff>28575</xdr:rowOff>
    </xdr:to>
    <xdr:pic>
      <xdr:nvPicPr>
        <xdr:cNvPr id="2" name="Picture 5" descr="Regina Cantil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5626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19</xdr:row>
      <xdr:rowOff>28575</xdr:rowOff>
    </xdr:from>
    <xdr:to>
      <xdr:col>2</xdr:col>
      <xdr:colOff>838200</xdr:colOff>
      <xdr:row>22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3625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2"/>
  <sheetViews>
    <sheetView showGridLines="0" showZeros="0" zoomScalePageLayoutView="0" workbookViewId="0" topLeftCell="A1">
      <selection activeCell="A14" sqref="A14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3" width="4.88671875" style="0" customWidth="1"/>
    <col min="4" max="4" width="10.6640625" style="0" customWidth="1"/>
    <col min="5" max="5" width="12.21484375" style="0" customWidth="1"/>
    <col min="6" max="6" width="10.77734375" style="0" customWidth="1"/>
    <col min="7" max="7" width="5.10546875" style="0" customWidth="1"/>
    <col min="8" max="8" width="3.21484375" style="0" customWidth="1"/>
    <col min="9" max="10" width="11.99609375" style="0" customWidth="1"/>
  </cols>
  <sheetData>
    <row r="2" ht="15">
      <c r="B2" s="9" t="s">
        <v>148</v>
      </c>
    </row>
    <row r="3" ht="15">
      <c r="B3" s="9" t="s">
        <v>149</v>
      </c>
    </row>
    <row r="4" spans="2:3" ht="15">
      <c r="B4" s="9" t="s">
        <v>150</v>
      </c>
      <c r="C4" s="9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4"/>
    </row>
    <row r="7" spans="1:15" ht="15">
      <c r="A7" s="2"/>
      <c r="B7" s="5"/>
      <c r="C7" s="5"/>
      <c r="D7" s="5"/>
      <c r="E7" s="12"/>
      <c r="F7" s="5"/>
      <c r="G7" s="40"/>
      <c r="H7" s="2"/>
      <c r="I7" s="5"/>
      <c r="J7" s="5"/>
      <c r="K7" s="1"/>
      <c r="L7" s="1"/>
      <c r="M7" s="1"/>
      <c r="N7" s="1"/>
      <c r="O7" s="1"/>
    </row>
    <row r="8" spans="1:15" ht="15">
      <c r="A8" s="2"/>
      <c r="B8" s="6"/>
      <c r="C8" s="7" t="s">
        <v>16</v>
      </c>
      <c r="D8" s="7" t="s">
        <v>18</v>
      </c>
      <c r="E8" s="38" t="s">
        <v>142</v>
      </c>
      <c r="F8" s="7" t="s">
        <v>21</v>
      </c>
      <c r="G8" s="39"/>
      <c r="H8" s="3"/>
      <c r="I8" s="7" t="s">
        <v>138</v>
      </c>
      <c r="J8" s="7" t="s">
        <v>138</v>
      </c>
      <c r="K8" s="1"/>
      <c r="L8" s="1"/>
      <c r="M8" s="1"/>
      <c r="N8" s="1"/>
      <c r="O8" s="1"/>
    </row>
    <row r="9" spans="1:15" ht="15">
      <c r="A9" s="2"/>
      <c r="B9" s="7" t="s">
        <v>15</v>
      </c>
      <c r="C9" s="7" t="s">
        <v>17</v>
      </c>
      <c r="D9" s="7" t="s">
        <v>19</v>
      </c>
      <c r="E9" s="38" t="s">
        <v>19</v>
      </c>
      <c r="F9" s="7" t="s">
        <v>20</v>
      </c>
      <c r="G9" s="39" t="s">
        <v>25</v>
      </c>
      <c r="H9" s="2"/>
      <c r="I9" s="7" t="s">
        <v>143</v>
      </c>
      <c r="J9" s="7" t="s">
        <v>143</v>
      </c>
      <c r="K9" s="1"/>
      <c r="L9" s="1"/>
      <c r="M9" s="1"/>
      <c r="N9" s="1"/>
      <c r="O9" s="1"/>
    </row>
    <row r="10" spans="1:15" ht="15">
      <c r="A10" s="2"/>
      <c r="B10" s="7"/>
      <c r="C10" s="7"/>
      <c r="D10" s="31" t="s">
        <v>24</v>
      </c>
      <c r="E10" s="38" t="s">
        <v>23</v>
      </c>
      <c r="F10" s="31" t="s">
        <v>22</v>
      </c>
      <c r="G10" s="54"/>
      <c r="H10" s="2"/>
      <c r="I10" s="31">
        <v>2006</v>
      </c>
      <c r="J10" s="7">
        <v>2007</v>
      </c>
      <c r="K10" s="1"/>
      <c r="L10" s="1"/>
      <c r="M10" s="1"/>
      <c r="N10" s="1"/>
      <c r="O10" s="1"/>
    </row>
    <row r="11" spans="1:15" ht="15">
      <c r="A11" s="2"/>
      <c r="B11" s="12"/>
      <c r="C11" s="5"/>
      <c r="D11" s="4"/>
      <c r="E11" s="26"/>
      <c r="F11" s="26"/>
      <c r="G11" s="26"/>
      <c r="H11" s="4"/>
      <c r="I11" s="33"/>
      <c r="J11" s="5"/>
      <c r="K11" s="1"/>
      <c r="L11" s="1"/>
      <c r="M11" s="1"/>
      <c r="N11" s="1"/>
      <c r="O11" s="1"/>
    </row>
    <row r="12" spans="1:15" ht="15">
      <c r="A12" s="2"/>
      <c r="B12" s="41" t="s">
        <v>26</v>
      </c>
      <c r="C12" s="35"/>
      <c r="D12" s="20"/>
      <c r="E12" s="27"/>
      <c r="F12" s="27"/>
      <c r="G12" s="27"/>
      <c r="H12" s="4"/>
      <c r="I12" s="27"/>
      <c r="J12" s="27"/>
      <c r="K12" s="1"/>
      <c r="L12" s="1"/>
      <c r="M12" s="1"/>
      <c r="N12" s="1"/>
      <c r="O12" s="1"/>
    </row>
    <row r="13" spans="1:15" ht="15">
      <c r="A13" s="2"/>
      <c r="B13" s="13"/>
      <c r="C13" s="35"/>
      <c r="D13" s="20"/>
      <c r="E13" s="27"/>
      <c r="F13" s="27"/>
      <c r="G13" s="27"/>
      <c r="H13" s="4"/>
      <c r="I13" s="27"/>
      <c r="J13" s="27"/>
      <c r="K13" s="1"/>
      <c r="L13" s="1"/>
      <c r="M13" s="1"/>
      <c r="N13" s="1"/>
      <c r="O13" s="1"/>
    </row>
    <row r="14" spans="1:15" ht="15">
      <c r="A14" s="2"/>
      <c r="B14" s="13" t="s">
        <v>27</v>
      </c>
      <c r="C14" s="36">
        <v>127</v>
      </c>
      <c r="D14" s="19">
        <v>29257536.74</v>
      </c>
      <c r="E14" s="27">
        <v>45292382.01</v>
      </c>
      <c r="F14" s="27"/>
      <c r="G14" s="27"/>
      <c r="H14" s="4"/>
      <c r="I14" s="27">
        <v>35000000</v>
      </c>
      <c r="J14" s="27">
        <v>40000000</v>
      </c>
      <c r="K14" s="1"/>
      <c r="L14" s="1"/>
      <c r="M14" s="1"/>
      <c r="N14" s="1"/>
      <c r="O14" s="1"/>
    </row>
    <row r="15" spans="1:15" ht="15">
      <c r="A15" s="2"/>
      <c r="B15" s="13" t="s">
        <v>28</v>
      </c>
      <c r="C15" s="36">
        <v>588</v>
      </c>
      <c r="D15" s="19">
        <v>27740743.99</v>
      </c>
      <c r="E15" s="27">
        <v>39755094.44</v>
      </c>
      <c r="F15" s="27"/>
      <c r="G15" s="27"/>
      <c r="H15" s="4"/>
      <c r="I15" s="27">
        <v>40000000</v>
      </c>
      <c r="J15" s="27">
        <v>90000000</v>
      </c>
      <c r="K15" s="1"/>
      <c r="L15" s="1"/>
      <c r="M15" s="1"/>
      <c r="N15" s="1"/>
      <c r="O15" s="1"/>
    </row>
    <row r="16" spans="1:15" ht="15">
      <c r="A16" s="2"/>
      <c r="B16" s="13" t="s">
        <v>29</v>
      </c>
      <c r="C16" s="36">
        <v>954</v>
      </c>
      <c r="D16" s="19">
        <v>-4413575.67</v>
      </c>
      <c r="E16" s="27">
        <v>-5321335.76</v>
      </c>
      <c r="F16" s="27"/>
      <c r="G16" s="27"/>
      <c r="H16" s="4"/>
      <c r="I16" s="27"/>
      <c r="J16" s="27"/>
      <c r="K16" s="1"/>
      <c r="L16" s="1"/>
      <c r="M16" s="1"/>
      <c r="N16" s="1"/>
      <c r="O16" s="1"/>
    </row>
    <row r="17" spans="1:15" ht="15">
      <c r="A17" s="2"/>
      <c r="B17" s="13" t="s">
        <v>30</v>
      </c>
      <c r="C17" s="36">
        <v>599</v>
      </c>
      <c r="D17" s="19">
        <v>4160992.78</v>
      </c>
      <c r="E17" s="27">
        <v>3496535.4</v>
      </c>
      <c r="F17" s="27"/>
      <c r="G17" s="27"/>
      <c r="H17" s="4"/>
      <c r="I17" s="27">
        <v>4000000</v>
      </c>
      <c r="J17" s="27">
        <v>6000000</v>
      </c>
      <c r="K17" s="1"/>
      <c r="L17" s="1"/>
      <c r="M17" s="1"/>
      <c r="N17" s="1"/>
      <c r="O17" s="1"/>
    </row>
    <row r="18" spans="1:15" ht="15">
      <c r="A18" s="2"/>
      <c r="B18" s="13"/>
      <c r="C18" s="36"/>
      <c r="D18" s="19"/>
      <c r="E18" s="27"/>
      <c r="F18" s="27"/>
      <c r="G18" s="27"/>
      <c r="H18" s="4"/>
      <c r="I18" s="27"/>
      <c r="J18" s="27"/>
      <c r="K18" s="1"/>
      <c r="L18" s="1"/>
      <c r="M18" s="1"/>
      <c r="N18" s="1"/>
      <c r="O18" s="1"/>
    </row>
    <row r="19" spans="1:15" ht="15">
      <c r="A19" s="2"/>
      <c r="B19" s="41" t="s">
        <v>31</v>
      </c>
      <c r="C19" s="36"/>
      <c r="D19" s="19"/>
      <c r="E19" s="27"/>
      <c r="F19" s="27"/>
      <c r="G19" s="27"/>
      <c r="H19" s="4"/>
      <c r="I19" s="27"/>
      <c r="J19" s="27"/>
      <c r="K19" s="1"/>
      <c r="L19" s="1"/>
      <c r="M19" s="1"/>
      <c r="N19" s="1"/>
      <c r="O19" s="1"/>
    </row>
    <row r="20" spans="1:15" ht="15">
      <c r="A20" s="2"/>
      <c r="B20" s="13"/>
      <c r="C20" s="36"/>
      <c r="D20" s="19"/>
      <c r="E20" s="27"/>
      <c r="F20" s="27"/>
      <c r="G20" s="27"/>
      <c r="H20" s="4"/>
      <c r="I20" s="27"/>
      <c r="J20" s="27"/>
      <c r="K20" s="1"/>
      <c r="L20" s="1"/>
      <c r="M20" s="1"/>
      <c r="N20" s="1"/>
      <c r="O20" s="1"/>
    </row>
    <row r="21" spans="1:15" ht="15">
      <c r="A21" s="2"/>
      <c r="B21" s="13" t="s">
        <v>32</v>
      </c>
      <c r="C21" s="36">
        <v>564</v>
      </c>
      <c r="D21" s="19">
        <v>150675</v>
      </c>
      <c r="E21" s="27">
        <v>146305.31</v>
      </c>
      <c r="F21" s="27"/>
      <c r="G21" s="27"/>
      <c r="H21" s="4"/>
      <c r="I21" s="27">
        <v>250000</v>
      </c>
      <c r="J21" s="27">
        <v>250000</v>
      </c>
      <c r="K21" s="1"/>
      <c r="L21" s="1"/>
      <c r="M21" s="1"/>
      <c r="N21" s="1"/>
      <c r="O21" s="1"/>
    </row>
    <row r="22" spans="1:15" ht="15">
      <c r="A22" s="2"/>
      <c r="B22" s="13" t="s">
        <v>33</v>
      </c>
      <c r="C22" s="36">
        <v>581</v>
      </c>
      <c r="D22" s="19"/>
      <c r="E22" s="27"/>
      <c r="F22" s="27"/>
      <c r="G22" s="27"/>
      <c r="H22" s="4"/>
      <c r="I22" s="27"/>
      <c r="J22" s="27"/>
      <c r="K22" s="1"/>
      <c r="L22" s="1"/>
      <c r="M22" s="1"/>
      <c r="N22" s="1"/>
      <c r="O22" s="1"/>
    </row>
    <row r="23" spans="1:15" ht="15">
      <c r="A23" s="2"/>
      <c r="B23" s="13" t="s">
        <v>34</v>
      </c>
      <c r="C23" s="36" t="s">
        <v>90</v>
      </c>
      <c r="D23" s="19">
        <v>276512.34</v>
      </c>
      <c r="E23" s="27">
        <v>443252.91</v>
      </c>
      <c r="F23" s="27"/>
      <c r="G23" s="27"/>
      <c r="H23" s="4"/>
      <c r="I23" s="27">
        <v>1200000</v>
      </c>
      <c r="J23" s="27">
        <v>300000</v>
      </c>
      <c r="K23" s="1"/>
      <c r="L23" s="1"/>
      <c r="M23" s="1"/>
      <c r="N23" s="1"/>
      <c r="O23" s="1"/>
    </row>
    <row r="24" spans="1:15" ht="15">
      <c r="A24" s="2"/>
      <c r="B24" s="13" t="s">
        <v>139</v>
      </c>
      <c r="C24" s="36" t="s">
        <v>91</v>
      </c>
      <c r="D24" s="19">
        <v>533863.54</v>
      </c>
      <c r="E24" s="27">
        <v>538380.4</v>
      </c>
      <c r="F24" s="27"/>
      <c r="G24" s="27"/>
      <c r="H24" s="4"/>
      <c r="I24" s="27">
        <v>500000</v>
      </c>
      <c r="J24" s="27">
        <v>1000000</v>
      </c>
      <c r="K24" s="1"/>
      <c r="L24" s="1"/>
      <c r="M24" s="1"/>
      <c r="N24" s="1"/>
      <c r="O24" s="1"/>
    </row>
    <row r="25" spans="1:15" ht="15">
      <c r="A25" s="2"/>
      <c r="B25" s="13" t="s">
        <v>140</v>
      </c>
      <c r="C25" s="36" t="s">
        <v>92</v>
      </c>
      <c r="D25" s="19">
        <v>2339.28</v>
      </c>
      <c r="E25" s="27">
        <v>4525.67</v>
      </c>
      <c r="F25" s="27"/>
      <c r="G25" s="27"/>
      <c r="H25" s="4"/>
      <c r="I25" s="27">
        <v>25000</v>
      </c>
      <c r="J25" s="27">
        <v>10000</v>
      </c>
      <c r="K25" s="1"/>
      <c r="L25" s="1"/>
      <c r="M25" s="1"/>
      <c r="N25" s="1"/>
      <c r="O25" s="1"/>
    </row>
    <row r="26" spans="1:15" ht="15">
      <c r="A26" s="2"/>
      <c r="B26" s="13" t="s">
        <v>35</v>
      </c>
      <c r="C26" s="36">
        <v>582</v>
      </c>
      <c r="D26" s="19"/>
      <c r="E26" s="27"/>
      <c r="F26" s="27"/>
      <c r="G26" s="27"/>
      <c r="H26" s="4"/>
      <c r="I26" s="27"/>
      <c r="J26" s="27"/>
      <c r="K26" s="1"/>
      <c r="L26" s="1"/>
      <c r="M26" s="1"/>
      <c r="N26" s="1"/>
      <c r="O26" s="1"/>
    </row>
    <row r="27" spans="1:15" ht="15">
      <c r="A27" s="2"/>
      <c r="B27" s="42" t="s">
        <v>36</v>
      </c>
      <c r="C27" s="36" t="s">
        <v>93</v>
      </c>
      <c r="D27" s="19">
        <v>5050201.28</v>
      </c>
      <c r="E27" s="27">
        <v>4951772.24</v>
      </c>
      <c r="F27" s="27"/>
      <c r="G27" s="27"/>
      <c r="H27" s="4"/>
      <c r="I27" s="27">
        <v>6500000</v>
      </c>
      <c r="J27" s="27">
        <v>6000000</v>
      </c>
      <c r="K27" s="1"/>
      <c r="L27" s="1"/>
      <c r="M27" s="1"/>
      <c r="N27" s="1"/>
      <c r="O27" s="1"/>
    </row>
    <row r="28" spans="1:15" ht="15">
      <c r="A28" s="2"/>
      <c r="B28" s="42" t="s">
        <v>37</v>
      </c>
      <c r="C28" s="36" t="s">
        <v>94</v>
      </c>
      <c r="D28" s="19">
        <v>5951554.96</v>
      </c>
      <c r="E28" s="27">
        <v>5853333.91</v>
      </c>
      <c r="F28" s="27"/>
      <c r="G28" s="27"/>
      <c r="H28" s="4"/>
      <c r="I28" s="27">
        <v>8000000</v>
      </c>
      <c r="J28" s="27">
        <v>6500000</v>
      </c>
      <c r="K28" s="1"/>
      <c r="L28" s="1"/>
      <c r="M28" s="1"/>
      <c r="N28" s="1"/>
      <c r="O28" s="1"/>
    </row>
    <row r="29" spans="1:15" ht="15">
      <c r="A29" s="2"/>
      <c r="B29" s="42" t="s">
        <v>38</v>
      </c>
      <c r="C29" s="36" t="s">
        <v>95</v>
      </c>
      <c r="D29" s="19">
        <v>2903239.96</v>
      </c>
      <c r="E29" s="27">
        <v>3587371.11</v>
      </c>
      <c r="F29" s="27"/>
      <c r="G29" s="27"/>
      <c r="H29" s="4"/>
      <c r="I29" s="27">
        <v>3500000</v>
      </c>
      <c r="J29" s="27">
        <v>3500000</v>
      </c>
      <c r="K29" s="1"/>
      <c r="L29" s="1"/>
      <c r="M29" s="1"/>
      <c r="N29" s="1"/>
      <c r="O29" s="1"/>
    </row>
    <row r="30" spans="1:15" ht="15">
      <c r="A30" s="2"/>
      <c r="B30" s="42" t="s">
        <v>39</v>
      </c>
      <c r="C30" s="36" t="s">
        <v>96</v>
      </c>
      <c r="D30" s="19">
        <v>5193671.33</v>
      </c>
      <c r="E30" s="27">
        <v>5049428.65</v>
      </c>
      <c r="F30" s="27"/>
      <c r="G30" s="27"/>
      <c r="H30" s="4"/>
      <c r="I30" s="27">
        <v>5000000</v>
      </c>
      <c r="J30" s="27">
        <v>5500000</v>
      </c>
      <c r="K30" s="1"/>
      <c r="L30" s="1"/>
      <c r="M30" s="1"/>
      <c r="N30" s="1"/>
      <c r="O30" s="1"/>
    </row>
    <row r="31" spans="1:15" ht="15">
      <c r="A31" s="2"/>
      <c r="B31" s="42" t="s">
        <v>40</v>
      </c>
      <c r="C31" s="36" t="s">
        <v>97</v>
      </c>
      <c r="D31" s="19">
        <v>1413868.09</v>
      </c>
      <c r="E31" s="27">
        <v>433501.24</v>
      </c>
      <c r="F31" s="27"/>
      <c r="G31" s="27"/>
      <c r="H31" s="4"/>
      <c r="I31" s="27">
        <v>1500000</v>
      </c>
      <c r="J31" s="27">
        <v>2000000</v>
      </c>
      <c r="K31" s="1"/>
      <c r="L31" s="1"/>
      <c r="M31" s="1"/>
      <c r="N31" s="1"/>
      <c r="O31" s="1"/>
    </row>
    <row r="32" spans="1:15" ht="15">
      <c r="A32" s="2"/>
      <c r="B32" s="42" t="s">
        <v>41</v>
      </c>
      <c r="C32" s="36" t="s">
        <v>98</v>
      </c>
      <c r="D32" s="19">
        <v>783324.47</v>
      </c>
      <c r="E32" s="27">
        <v>1303284.57</v>
      </c>
      <c r="F32" s="27"/>
      <c r="G32" s="27"/>
      <c r="H32" s="4"/>
      <c r="I32" s="27">
        <v>1000000</v>
      </c>
      <c r="J32" s="27">
        <v>1000000</v>
      </c>
      <c r="K32" s="1"/>
      <c r="L32" s="1"/>
      <c r="M32" s="1"/>
      <c r="N32" s="1"/>
      <c r="O32" s="1"/>
    </row>
    <row r="33" spans="1:15" ht="15">
      <c r="A33" s="2"/>
      <c r="B33" s="42" t="s">
        <v>42</v>
      </c>
      <c r="C33" s="36" t="s">
        <v>99</v>
      </c>
      <c r="D33" s="19">
        <v>3307513.86</v>
      </c>
      <c r="E33" s="27">
        <v>4465432.21</v>
      </c>
      <c r="F33" s="27"/>
      <c r="G33" s="27"/>
      <c r="H33" s="4"/>
      <c r="I33" s="27">
        <v>3500000</v>
      </c>
      <c r="J33" s="27">
        <v>4000000</v>
      </c>
      <c r="K33" s="1"/>
      <c r="L33" s="1"/>
      <c r="M33" s="1"/>
      <c r="N33" s="1"/>
      <c r="O33" s="1"/>
    </row>
    <row r="34" spans="1:15" ht="15">
      <c r="A34" s="2"/>
      <c r="B34" s="42" t="s">
        <v>43</v>
      </c>
      <c r="C34" s="36" t="s">
        <v>100</v>
      </c>
      <c r="D34" s="19">
        <v>2574318.77</v>
      </c>
      <c r="E34" s="27">
        <v>2034654.87</v>
      </c>
      <c r="F34" s="27"/>
      <c r="G34" s="27"/>
      <c r="H34" s="4"/>
      <c r="I34" s="27">
        <v>2500000</v>
      </c>
      <c r="J34" s="27">
        <v>3000000</v>
      </c>
      <c r="K34" s="1"/>
      <c r="L34" s="1"/>
      <c r="M34" s="1"/>
      <c r="N34" s="1"/>
      <c r="O34" s="1"/>
    </row>
    <row r="35" spans="1:15" ht="15">
      <c r="A35" s="2"/>
      <c r="B35" s="42" t="s">
        <v>44</v>
      </c>
      <c r="C35" s="36" t="s">
        <v>101</v>
      </c>
      <c r="D35" s="19">
        <v>1888705.76</v>
      </c>
      <c r="E35" s="27">
        <v>1920841.65</v>
      </c>
      <c r="F35" s="27"/>
      <c r="G35" s="27"/>
      <c r="H35" s="4"/>
      <c r="I35" s="27">
        <v>2500000</v>
      </c>
      <c r="J35" s="27">
        <v>2500000</v>
      </c>
      <c r="K35" s="1"/>
      <c r="L35" s="1"/>
      <c r="M35" s="1"/>
      <c r="N35" s="1"/>
      <c r="O35" s="1"/>
    </row>
    <row r="36" spans="1:15" ht="15">
      <c r="A36" s="2"/>
      <c r="B36" s="42" t="s">
        <v>45</v>
      </c>
      <c r="C36" s="36" t="s">
        <v>102</v>
      </c>
      <c r="D36" s="19">
        <v>750</v>
      </c>
      <c r="E36" s="27">
        <v>900</v>
      </c>
      <c r="F36" s="27"/>
      <c r="G36" s="27"/>
      <c r="H36" s="4"/>
      <c r="I36" s="27">
        <v>20000</v>
      </c>
      <c r="J36" s="27">
        <v>20000</v>
      </c>
      <c r="K36" s="1"/>
      <c r="L36" s="1"/>
      <c r="M36" s="1"/>
      <c r="N36" s="1"/>
      <c r="O36" s="1"/>
    </row>
    <row r="37" spans="1:15" ht="15">
      <c r="A37" s="2"/>
      <c r="B37" s="42" t="s">
        <v>46</v>
      </c>
      <c r="C37" s="36" t="s">
        <v>103</v>
      </c>
      <c r="D37" s="19"/>
      <c r="E37" s="27"/>
      <c r="F37" s="27"/>
      <c r="G37" s="27"/>
      <c r="H37" s="4"/>
      <c r="I37" s="27"/>
      <c r="J37" s="27"/>
      <c r="K37" s="1"/>
      <c r="L37" s="1"/>
      <c r="M37" s="1"/>
      <c r="N37" s="1"/>
      <c r="O37" s="1"/>
    </row>
    <row r="38" spans="1:15" ht="15">
      <c r="A38" s="2"/>
      <c r="B38" s="42" t="s">
        <v>47</v>
      </c>
      <c r="C38" s="36" t="s">
        <v>104</v>
      </c>
      <c r="D38" s="19"/>
      <c r="E38" s="27">
        <v>16829.09</v>
      </c>
      <c r="F38" s="27"/>
      <c r="G38" s="27"/>
      <c r="H38" s="4"/>
      <c r="I38" s="27">
        <v>25000</v>
      </c>
      <c r="J38" s="27">
        <v>25000</v>
      </c>
      <c r="K38" s="1"/>
      <c r="L38" s="1"/>
      <c r="M38" s="1"/>
      <c r="N38" s="1"/>
      <c r="O38" s="1"/>
    </row>
    <row r="39" spans="1:15" ht="15">
      <c r="A39" s="2"/>
      <c r="B39" s="42" t="s">
        <v>48</v>
      </c>
      <c r="C39" s="36" t="s">
        <v>105</v>
      </c>
      <c r="D39" s="19">
        <v>823457.21</v>
      </c>
      <c r="E39" s="27">
        <v>955389.39</v>
      </c>
      <c r="F39" s="27"/>
      <c r="G39" s="27"/>
      <c r="H39" s="4"/>
      <c r="I39" s="27">
        <v>1000000</v>
      </c>
      <c r="J39" s="27">
        <v>1500000</v>
      </c>
      <c r="K39" s="1"/>
      <c r="L39" s="1"/>
      <c r="M39" s="1"/>
      <c r="N39" s="1"/>
      <c r="O39" s="1"/>
    </row>
    <row r="40" spans="1:15" ht="15">
      <c r="A40" s="2"/>
      <c r="B40" s="42" t="s">
        <v>49</v>
      </c>
      <c r="C40" s="36" t="s">
        <v>106</v>
      </c>
      <c r="D40" s="19"/>
      <c r="E40" s="27"/>
      <c r="F40" s="27"/>
      <c r="G40" s="27"/>
      <c r="H40" s="4"/>
      <c r="I40" s="27">
        <v>25000</v>
      </c>
      <c r="J40" s="27">
        <v>25000</v>
      </c>
      <c r="K40" s="1"/>
      <c r="L40" s="1"/>
      <c r="M40" s="1"/>
      <c r="N40" s="1"/>
      <c r="O40" s="1"/>
    </row>
    <row r="41" spans="1:15" ht="15">
      <c r="A41" s="2"/>
      <c r="B41" s="42" t="s">
        <v>50</v>
      </c>
      <c r="C41" s="36" t="s">
        <v>107</v>
      </c>
      <c r="D41" s="19">
        <v>634518.74</v>
      </c>
      <c r="E41" s="27">
        <v>630860.27</v>
      </c>
      <c r="F41" s="27"/>
      <c r="G41" s="27"/>
      <c r="H41" s="4"/>
      <c r="I41" s="27">
        <v>500000</v>
      </c>
      <c r="J41" s="27">
        <v>1000000</v>
      </c>
      <c r="K41" s="1"/>
      <c r="L41" s="1"/>
      <c r="M41" s="1"/>
      <c r="N41" s="1"/>
      <c r="O41" s="1"/>
    </row>
    <row r="42" spans="1:15" ht="15">
      <c r="A42" s="2"/>
      <c r="B42" s="42" t="s">
        <v>51</v>
      </c>
      <c r="C42" s="36" t="s">
        <v>108</v>
      </c>
      <c r="D42" s="19">
        <v>7516.95</v>
      </c>
      <c r="E42" s="27">
        <v>7339</v>
      </c>
      <c r="F42" s="27"/>
      <c r="G42" s="27"/>
      <c r="H42" s="4"/>
      <c r="I42" s="27">
        <v>50000</v>
      </c>
      <c r="J42" s="27">
        <v>50000</v>
      </c>
      <c r="K42" s="1"/>
      <c r="L42" s="1"/>
      <c r="M42" s="1"/>
      <c r="N42" s="1"/>
      <c r="O42" s="1"/>
    </row>
    <row r="43" spans="1:15" ht="15">
      <c r="A43" s="2"/>
      <c r="B43" s="42" t="s">
        <v>52</v>
      </c>
      <c r="C43" s="36" t="s">
        <v>109</v>
      </c>
      <c r="D43" s="19"/>
      <c r="E43" s="27"/>
      <c r="F43" s="27"/>
      <c r="G43" s="27"/>
      <c r="H43" s="4"/>
      <c r="I43" s="27">
        <v>50000</v>
      </c>
      <c r="J43" s="27">
        <v>50000</v>
      </c>
      <c r="K43" s="1"/>
      <c r="L43" s="1"/>
      <c r="M43" s="1"/>
      <c r="N43" s="1"/>
      <c r="O43" s="1"/>
    </row>
    <row r="44" spans="1:15" ht="15">
      <c r="A44" s="2"/>
      <c r="B44" s="42" t="s">
        <v>53</v>
      </c>
      <c r="C44" s="36" t="s">
        <v>110</v>
      </c>
      <c r="D44" s="19">
        <v>3018794.59</v>
      </c>
      <c r="E44" s="27">
        <v>3183378.81</v>
      </c>
      <c r="F44" s="27"/>
      <c r="G44" s="27"/>
      <c r="H44" s="4"/>
      <c r="I44" s="27">
        <v>3500000</v>
      </c>
      <c r="J44" s="27">
        <v>3500000</v>
      </c>
      <c r="K44" s="1"/>
      <c r="L44" s="1"/>
      <c r="M44" s="1"/>
      <c r="N44" s="1"/>
      <c r="O44" s="1"/>
    </row>
    <row r="45" spans="1:15" ht="15">
      <c r="A45" s="2"/>
      <c r="B45" s="42" t="s">
        <v>54</v>
      </c>
      <c r="C45" s="36" t="s">
        <v>111</v>
      </c>
      <c r="D45" s="19">
        <v>428577.89</v>
      </c>
      <c r="E45" s="27">
        <v>560763.57</v>
      </c>
      <c r="F45" s="27"/>
      <c r="G45" s="27"/>
      <c r="H45" s="4"/>
      <c r="I45" s="27">
        <v>560000</v>
      </c>
      <c r="J45" s="27">
        <v>1000000</v>
      </c>
      <c r="K45" s="1"/>
      <c r="L45" s="1"/>
      <c r="M45" s="1"/>
      <c r="N45" s="1"/>
      <c r="O45" s="1"/>
    </row>
    <row r="46" spans="1:15" ht="15">
      <c r="A46" s="2"/>
      <c r="B46" s="42" t="s">
        <v>55</v>
      </c>
      <c r="C46" s="36" t="s">
        <v>112</v>
      </c>
      <c r="D46" s="19">
        <v>300318.04</v>
      </c>
      <c r="E46" s="27">
        <v>315486.82</v>
      </c>
      <c r="F46" s="27"/>
      <c r="G46" s="27"/>
      <c r="H46" s="4"/>
      <c r="I46" s="27">
        <v>600000</v>
      </c>
      <c r="J46" s="27">
        <v>500000</v>
      </c>
      <c r="K46" s="1"/>
      <c r="L46" s="1"/>
      <c r="M46" s="1"/>
      <c r="N46" s="1"/>
      <c r="O46" s="1"/>
    </row>
    <row r="47" spans="1:15" ht="15">
      <c r="A47" s="2"/>
      <c r="B47" s="53" t="s">
        <v>56</v>
      </c>
      <c r="C47" s="37" t="s">
        <v>113</v>
      </c>
      <c r="D47" s="19">
        <v>9350.42</v>
      </c>
      <c r="E47" s="28">
        <v>9829.89</v>
      </c>
      <c r="F47" s="28"/>
      <c r="G47" s="28"/>
      <c r="H47" s="4"/>
      <c r="I47" s="28">
        <v>30000</v>
      </c>
      <c r="J47" s="28">
        <v>30000</v>
      </c>
      <c r="K47" s="1"/>
      <c r="L47" s="1"/>
      <c r="M47" s="1"/>
      <c r="N47" s="1"/>
      <c r="O47" s="1"/>
    </row>
    <row r="48" spans="1:15" ht="15">
      <c r="A48" s="2"/>
      <c r="B48" s="42" t="s">
        <v>57</v>
      </c>
      <c r="C48" s="36" t="s">
        <v>114</v>
      </c>
      <c r="D48" s="19">
        <v>642181.08</v>
      </c>
      <c r="E48" s="27">
        <v>402281</v>
      </c>
      <c r="F48" s="33"/>
      <c r="G48" s="33"/>
      <c r="H48" s="4"/>
      <c r="I48" s="33">
        <v>700000</v>
      </c>
      <c r="J48" s="27">
        <v>1000000</v>
      </c>
      <c r="K48" s="1"/>
      <c r="L48" s="1"/>
      <c r="M48" s="1"/>
      <c r="N48" s="1"/>
      <c r="O48" s="1"/>
    </row>
    <row r="49" spans="1:15" ht="15">
      <c r="A49" s="2"/>
      <c r="B49" s="42" t="s">
        <v>58</v>
      </c>
      <c r="C49" s="36" t="s">
        <v>115</v>
      </c>
      <c r="D49" s="19"/>
      <c r="E49" s="27"/>
      <c r="F49" s="27"/>
      <c r="G49" s="27"/>
      <c r="H49" s="4"/>
      <c r="I49" s="27">
        <v>700000</v>
      </c>
      <c r="J49" s="27">
        <v>1000000</v>
      </c>
      <c r="K49" s="1"/>
      <c r="L49" s="1"/>
      <c r="M49" s="1"/>
      <c r="N49" s="1"/>
      <c r="O49" s="1"/>
    </row>
    <row r="50" spans="1:15" ht="15">
      <c r="A50" s="2"/>
      <c r="B50" s="13" t="s">
        <v>0</v>
      </c>
      <c r="C50" s="36">
        <v>583</v>
      </c>
      <c r="D50" s="19">
        <v>3319257.1</v>
      </c>
      <c r="E50" s="27">
        <v>3867673.77</v>
      </c>
      <c r="F50" s="27"/>
      <c r="G50" s="27"/>
      <c r="H50" s="4"/>
      <c r="I50" s="27">
        <v>4500000</v>
      </c>
      <c r="J50" s="27">
        <v>4500000</v>
      </c>
      <c r="K50" s="1"/>
      <c r="L50" s="1"/>
      <c r="M50" s="1"/>
      <c r="N50" s="1"/>
      <c r="O50" s="1"/>
    </row>
    <row r="51" spans="1:15" ht="15">
      <c r="A51" s="2"/>
      <c r="B51" s="13" t="s">
        <v>59</v>
      </c>
      <c r="C51" s="36">
        <v>584</v>
      </c>
      <c r="D51" s="19">
        <v>1134545</v>
      </c>
      <c r="E51" s="27">
        <v>1161062</v>
      </c>
      <c r="F51" s="27"/>
      <c r="G51" s="27"/>
      <c r="H51" s="4"/>
      <c r="I51" s="27">
        <v>2000000</v>
      </c>
      <c r="J51" s="27">
        <v>2000000</v>
      </c>
      <c r="K51" s="1"/>
      <c r="L51" s="1"/>
      <c r="M51" s="1"/>
      <c r="N51" s="1"/>
      <c r="O51" s="1"/>
    </row>
    <row r="52" spans="1:15" ht="15">
      <c r="A52" s="2"/>
      <c r="B52" s="13" t="s">
        <v>60</v>
      </c>
      <c r="C52" s="36">
        <v>585</v>
      </c>
      <c r="D52" s="19">
        <v>11960</v>
      </c>
      <c r="E52" s="27">
        <v>2380</v>
      </c>
      <c r="F52" s="27"/>
      <c r="G52" s="27"/>
      <c r="H52" s="4"/>
      <c r="I52" s="27">
        <v>400000</v>
      </c>
      <c r="J52" s="27">
        <v>400000</v>
      </c>
      <c r="K52" s="1"/>
      <c r="L52" s="1"/>
      <c r="M52" s="1"/>
      <c r="N52" s="1"/>
      <c r="O52" s="1"/>
    </row>
    <row r="53" spans="1:15" ht="15">
      <c r="A53" s="2"/>
      <c r="B53" s="13" t="s">
        <v>61</v>
      </c>
      <c r="C53" s="36">
        <v>586</v>
      </c>
      <c r="D53" s="19">
        <v>8104</v>
      </c>
      <c r="E53" s="27">
        <v>12288.17</v>
      </c>
      <c r="F53" s="27"/>
      <c r="G53" s="27"/>
      <c r="H53" s="4"/>
      <c r="I53" s="27">
        <v>50000</v>
      </c>
      <c r="J53" s="27">
        <v>50000</v>
      </c>
      <c r="K53" s="1"/>
      <c r="L53" s="1"/>
      <c r="M53" s="1"/>
      <c r="N53" s="1"/>
      <c r="O53" s="1"/>
    </row>
    <row r="54" spans="1:15" ht="15">
      <c r="A54" s="2"/>
      <c r="B54" s="13" t="s">
        <v>1</v>
      </c>
      <c r="C54" s="36">
        <v>587</v>
      </c>
      <c r="D54" s="19">
        <v>3565599.28</v>
      </c>
      <c r="E54" s="27">
        <v>3502818.97</v>
      </c>
      <c r="F54" s="27"/>
      <c r="G54" s="27"/>
      <c r="H54" s="4"/>
      <c r="I54" s="27">
        <v>3000000</v>
      </c>
      <c r="J54" s="27">
        <v>3000000</v>
      </c>
      <c r="K54" s="1"/>
      <c r="L54" s="1"/>
      <c r="M54" s="1"/>
      <c r="N54" s="1"/>
      <c r="O54" s="1"/>
    </row>
    <row r="55" spans="1:15" ht="15">
      <c r="A55" s="2"/>
      <c r="B55" s="13" t="s">
        <v>2</v>
      </c>
      <c r="C55" s="36">
        <v>592</v>
      </c>
      <c r="D55" s="19">
        <v>127195</v>
      </c>
      <c r="E55" s="27">
        <v>125403.13</v>
      </c>
      <c r="F55" s="27"/>
      <c r="G55" s="27"/>
      <c r="H55" s="4"/>
      <c r="I55" s="27">
        <v>200000</v>
      </c>
      <c r="J55" s="27">
        <v>200000</v>
      </c>
      <c r="K55" s="1"/>
      <c r="L55" s="1"/>
      <c r="M55" s="1"/>
      <c r="N55" s="1"/>
      <c r="O55" s="1"/>
    </row>
    <row r="56" spans="1:15" ht="15">
      <c r="A56" s="2"/>
      <c r="B56" s="13" t="s">
        <v>62</v>
      </c>
      <c r="C56" s="36">
        <v>593</v>
      </c>
      <c r="D56" s="19">
        <v>511243.88</v>
      </c>
      <c r="E56" s="27">
        <v>331267.5</v>
      </c>
      <c r="F56" s="27"/>
      <c r="G56" s="27"/>
      <c r="H56" s="4"/>
      <c r="I56" s="27">
        <v>150000</v>
      </c>
      <c r="J56" s="27">
        <v>800000</v>
      </c>
      <c r="K56" s="1"/>
      <c r="L56" s="1"/>
      <c r="M56" s="1"/>
      <c r="N56" s="1"/>
      <c r="O56" s="1"/>
    </row>
    <row r="57" spans="1:15" ht="15">
      <c r="A57" s="2"/>
      <c r="B57" s="13" t="s">
        <v>63</v>
      </c>
      <c r="C57" s="36">
        <v>598</v>
      </c>
      <c r="D57" s="19">
        <v>827611.1</v>
      </c>
      <c r="E57" s="27">
        <v>8361574.93</v>
      </c>
      <c r="F57" s="27"/>
      <c r="G57" s="27"/>
      <c r="H57" s="4"/>
      <c r="I57" s="27">
        <v>515000</v>
      </c>
      <c r="J57" s="27">
        <v>515000</v>
      </c>
      <c r="K57" s="1"/>
      <c r="L57" s="1"/>
      <c r="M57" s="1"/>
      <c r="N57" s="1"/>
      <c r="O57" s="1"/>
    </row>
    <row r="58" spans="1:15" ht="15">
      <c r="A58" s="2"/>
      <c r="B58" s="13" t="s">
        <v>3</v>
      </c>
      <c r="C58" s="36">
        <v>599</v>
      </c>
      <c r="D58" s="19">
        <v>12650</v>
      </c>
      <c r="E58" s="27">
        <v>5377.21</v>
      </c>
      <c r="F58" s="27"/>
      <c r="G58" s="27"/>
      <c r="H58" s="4"/>
      <c r="I58" s="27"/>
      <c r="J58" s="27"/>
      <c r="K58" s="1"/>
      <c r="L58" s="1"/>
      <c r="M58" s="1"/>
      <c r="N58" s="1"/>
      <c r="O58" s="1"/>
    </row>
    <row r="59" spans="1:15" ht="15">
      <c r="A59" s="2"/>
      <c r="B59" s="13" t="s">
        <v>64</v>
      </c>
      <c r="C59" s="36">
        <v>601</v>
      </c>
      <c r="D59" s="19">
        <v>20678.35</v>
      </c>
      <c r="E59" s="27">
        <v>15495</v>
      </c>
      <c r="F59" s="27"/>
      <c r="G59" s="27"/>
      <c r="H59" s="4"/>
      <c r="I59" s="27">
        <v>100000</v>
      </c>
      <c r="J59" s="27">
        <v>50000</v>
      </c>
      <c r="K59" s="1"/>
      <c r="L59" s="1"/>
      <c r="M59" s="1"/>
      <c r="N59" s="1"/>
      <c r="O59" s="1"/>
    </row>
    <row r="60" spans="1:15" ht="15">
      <c r="A60" s="2"/>
      <c r="B60" s="13" t="s">
        <v>65</v>
      </c>
      <c r="C60" s="36">
        <v>605</v>
      </c>
      <c r="D60" s="19"/>
      <c r="E60" s="27"/>
      <c r="F60" s="27"/>
      <c r="G60" s="27"/>
      <c r="H60" s="4"/>
      <c r="I60" s="27"/>
      <c r="J60" s="27"/>
      <c r="K60" s="1"/>
      <c r="L60" s="1"/>
      <c r="M60" s="1"/>
      <c r="N60" s="1"/>
      <c r="O60" s="1"/>
    </row>
    <row r="61" spans="1:15" ht="15">
      <c r="A61" s="2"/>
      <c r="B61" s="13" t="s">
        <v>66</v>
      </c>
      <c r="C61" s="36" t="s">
        <v>116</v>
      </c>
      <c r="D61" s="19">
        <v>2131997.55</v>
      </c>
      <c r="E61" s="27">
        <v>2270459.23</v>
      </c>
      <c r="F61" s="27"/>
      <c r="G61" s="27"/>
      <c r="H61" s="4"/>
      <c r="I61" s="27">
        <v>6000000</v>
      </c>
      <c r="J61" s="27">
        <v>6000000</v>
      </c>
      <c r="K61" s="1"/>
      <c r="L61" s="1"/>
      <c r="M61" s="1"/>
      <c r="N61" s="1"/>
      <c r="O61" s="1"/>
    </row>
    <row r="62" spans="1:15" ht="15">
      <c r="A62" s="2"/>
      <c r="B62" s="13" t="s">
        <v>67</v>
      </c>
      <c r="C62" s="36" t="s">
        <v>117</v>
      </c>
      <c r="D62" s="19">
        <v>1668788.99</v>
      </c>
      <c r="E62" s="27">
        <v>1544588.98</v>
      </c>
      <c r="F62" s="27"/>
      <c r="G62" s="27"/>
      <c r="H62" s="4"/>
      <c r="I62" s="27">
        <v>2500000</v>
      </c>
      <c r="J62" s="27">
        <v>2500000</v>
      </c>
      <c r="K62" s="1"/>
      <c r="L62" s="1"/>
      <c r="M62" s="1"/>
      <c r="N62" s="1"/>
      <c r="O62" s="1"/>
    </row>
    <row r="63" spans="1:15" ht="15">
      <c r="A63" s="2"/>
      <c r="B63" s="13" t="s">
        <v>68</v>
      </c>
      <c r="C63" s="36" t="s">
        <v>118</v>
      </c>
      <c r="D63" s="19">
        <v>1058449.41</v>
      </c>
      <c r="E63" s="27">
        <v>997476.71</v>
      </c>
      <c r="F63" s="27"/>
      <c r="G63" s="27"/>
      <c r="H63" s="4"/>
      <c r="I63" s="27">
        <v>1500000</v>
      </c>
      <c r="J63" s="27">
        <v>1500000</v>
      </c>
      <c r="K63" s="1"/>
      <c r="L63" s="1"/>
      <c r="M63" s="1"/>
      <c r="N63" s="1"/>
      <c r="O63" s="1"/>
    </row>
    <row r="64" spans="1:15" ht="15">
      <c r="A64" s="2"/>
      <c r="B64" s="13" t="s">
        <v>69</v>
      </c>
      <c r="C64" s="36" t="s">
        <v>119</v>
      </c>
      <c r="D64" s="19">
        <v>134961.88</v>
      </c>
      <c r="E64" s="27">
        <v>130793.3</v>
      </c>
      <c r="F64" s="27"/>
      <c r="G64" s="27"/>
      <c r="H64" s="4"/>
      <c r="I64" s="27">
        <v>300000</v>
      </c>
      <c r="J64" s="27">
        <v>300000</v>
      </c>
      <c r="K64" s="1"/>
      <c r="L64" s="1"/>
      <c r="M64" s="1"/>
      <c r="N64" s="1"/>
      <c r="O64" s="1"/>
    </row>
    <row r="65" spans="1:15" ht="15">
      <c r="A65" s="2"/>
      <c r="B65" s="13" t="s">
        <v>70</v>
      </c>
      <c r="C65" s="36" t="s">
        <v>120</v>
      </c>
      <c r="D65" s="19">
        <v>198430</v>
      </c>
      <c r="E65" s="27">
        <v>205900</v>
      </c>
      <c r="F65" s="27"/>
      <c r="G65" s="27"/>
      <c r="H65" s="4"/>
      <c r="I65" s="27">
        <v>400000</v>
      </c>
      <c r="J65" s="27">
        <v>450000</v>
      </c>
      <c r="K65" s="1"/>
      <c r="L65" s="1"/>
      <c r="M65" s="1"/>
      <c r="N65" s="1"/>
      <c r="O65" s="1"/>
    </row>
    <row r="66" spans="1:15" ht="15">
      <c r="A66" s="2"/>
      <c r="B66" s="13" t="s">
        <v>71</v>
      </c>
      <c r="C66" s="36" t="s">
        <v>121</v>
      </c>
      <c r="D66" s="19">
        <v>162652.2</v>
      </c>
      <c r="E66" s="27">
        <v>195756.4</v>
      </c>
      <c r="F66" s="27"/>
      <c r="G66" s="27"/>
      <c r="H66" s="4"/>
      <c r="I66" s="27">
        <v>250000</v>
      </c>
      <c r="J66" s="27">
        <v>250000</v>
      </c>
      <c r="K66" s="1"/>
      <c r="L66" s="1"/>
      <c r="M66" s="1"/>
      <c r="N66" s="1"/>
      <c r="O66" s="1"/>
    </row>
    <row r="67" spans="1:15" ht="15">
      <c r="A67" s="2"/>
      <c r="B67" s="13" t="s">
        <v>72</v>
      </c>
      <c r="C67" s="36" t="s">
        <v>122</v>
      </c>
      <c r="D67" s="19">
        <v>514471</v>
      </c>
      <c r="E67" s="27">
        <v>424160</v>
      </c>
      <c r="F67" s="27"/>
      <c r="G67" s="27"/>
      <c r="H67" s="4"/>
      <c r="I67" s="27"/>
      <c r="J67" s="27">
        <v>600000</v>
      </c>
      <c r="K67" s="1"/>
      <c r="L67" s="1"/>
      <c r="M67" s="1"/>
      <c r="N67" s="1"/>
      <c r="O67" s="1"/>
    </row>
    <row r="68" spans="1:15" ht="15">
      <c r="A68" s="2"/>
      <c r="B68" s="13" t="s">
        <v>73</v>
      </c>
      <c r="C68" s="36" t="s">
        <v>123</v>
      </c>
      <c r="D68" s="19">
        <v>252</v>
      </c>
      <c r="E68" s="27"/>
      <c r="F68" s="27"/>
      <c r="G68" s="27"/>
      <c r="H68" s="4"/>
      <c r="I68" s="27"/>
      <c r="J68" s="27"/>
      <c r="K68" s="1"/>
      <c r="L68" s="1"/>
      <c r="M68" s="1"/>
      <c r="N68" s="1"/>
      <c r="O68" s="1"/>
    </row>
    <row r="69" spans="1:15" ht="15">
      <c r="A69" s="2"/>
      <c r="B69" s="13" t="s">
        <v>4</v>
      </c>
      <c r="C69" s="36">
        <v>606</v>
      </c>
      <c r="D69" s="19">
        <v>88520</v>
      </c>
      <c r="E69" s="27">
        <v>341368</v>
      </c>
      <c r="F69" s="27"/>
      <c r="G69" s="27"/>
      <c r="H69" s="4"/>
      <c r="I69" s="27">
        <v>150000</v>
      </c>
      <c r="J69" s="27">
        <v>200000</v>
      </c>
      <c r="K69" s="1"/>
      <c r="L69" s="1"/>
      <c r="M69" s="1"/>
      <c r="N69" s="1"/>
      <c r="O69" s="1"/>
    </row>
    <row r="70" spans="1:15" ht="15">
      <c r="A70" s="2"/>
      <c r="B70" s="13" t="s">
        <v>5</v>
      </c>
      <c r="C70" s="36">
        <v>609</v>
      </c>
      <c r="D70" s="19">
        <v>662646.27</v>
      </c>
      <c r="E70" s="27">
        <v>595267.61</v>
      </c>
      <c r="F70" s="27"/>
      <c r="G70" s="27"/>
      <c r="H70" s="4"/>
      <c r="I70" s="27">
        <v>1000000</v>
      </c>
      <c r="J70" s="27">
        <v>800000</v>
      </c>
      <c r="K70" s="1"/>
      <c r="L70" s="1"/>
      <c r="M70" s="1"/>
      <c r="N70" s="1"/>
      <c r="O70" s="1"/>
    </row>
    <row r="71" spans="1:15" ht="15">
      <c r="A71" s="2"/>
      <c r="B71" s="13" t="s">
        <v>74</v>
      </c>
      <c r="C71" s="36">
        <v>613</v>
      </c>
      <c r="D71" s="19">
        <v>1498661.4</v>
      </c>
      <c r="E71" s="27">
        <v>1858859.55</v>
      </c>
      <c r="F71" s="27"/>
      <c r="G71" s="27"/>
      <c r="H71" s="4"/>
      <c r="I71" s="27">
        <v>2400000</v>
      </c>
      <c r="J71" s="27">
        <v>2400000</v>
      </c>
      <c r="K71" s="1"/>
      <c r="L71" s="1"/>
      <c r="M71" s="1"/>
      <c r="N71" s="1"/>
      <c r="O71" s="1"/>
    </row>
    <row r="72" spans="1:15" ht="15">
      <c r="A72" s="2"/>
      <c r="B72" s="13" t="s">
        <v>6</v>
      </c>
      <c r="C72" s="36">
        <v>616</v>
      </c>
      <c r="D72" s="19">
        <v>1073200</v>
      </c>
      <c r="E72" s="27">
        <v>1132357.35</v>
      </c>
      <c r="F72" s="27"/>
      <c r="G72" s="27"/>
      <c r="H72" s="4"/>
      <c r="I72" s="27">
        <v>2000000</v>
      </c>
      <c r="J72" s="27">
        <v>2000000</v>
      </c>
      <c r="K72" s="1"/>
      <c r="L72" s="1"/>
      <c r="M72" s="1"/>
      <c r="N72" s="1"/>
      <c r="O72" s="1"/>
    </row>
    <row r="73" spans="1:15" ht="15">
      <c r="A73" s="2"/>
      <c r="B73" s="13" t="s">
        <v>7</v>
      </c>
      <c r="C73" s="36">
        <v>617</v>
      </c>
      <c r="D73" s="19">
        <v>186002.9</v>
      </c>
      <c r="E73" s="27">
        <v>256173.6</v>
      </c>
      <c r="F73" s="27"/>
      <c r="G73" s="27"/>
      <c r="H73" s="4"/>
      <c r="I73" s="27">
        <v>200000</v>
      </c>
      <c r="J73" s="27">
        <v>200000</v>
      </c>
      <c r="K73" s="1"/>
      <c r="L73" s="1"/>
      <c r="M73" s="1"/>
      <c r="N73" s="1"/>
      <c r="O73" s="1"/>
    </row>
    <row r="74" spans="1:15" ht="15">
      <c r="A74" s="2"/>
      <c r="B74" s="13" t="s">
        <v>8</v>
      </c>
      <c r="C74" s="36">
        <v>619</v>
      </c>
      <c r="D74" s="19">
        <v>363127</v>
      </c>
      <c r="E74" s="27">
        <v>437863.8</v>
      </c>
      <c r="F74" s="27"/>
      <c r="G74" s="27"/>
      <c r="H74" s="4"/>
      <c r="I74" s="27">
        <v>1700000</v>
      </c>
      <c r="J74" s="27">
        <v>1700000</v>
      </c>
      <c r="K74" s="1"/>
      <c r="L74" s="1"/>
      <c r="M74" s="1"/>
      <c r="N74" s="1"/>
      <c r="O74" s="1"/>
    </row>
    <row r="75" spans="1:15" ht="15">
      <c r="A75" s="2"/>
      <c r="B75" s="13" t="s">
        <v>9</v>
      </c>
      <c r="C75" s="36">
        <v>623</v>
      </c>
      <c r="D75" s="19">
        <v>150159.69</v>
      </c>
      <c r="E75" s="27">
        <v>3377919.55</v>
      </c>
      <c r="F75" s="27"/>
      <c r="G75" s="27"/>
      <c r="H75" s="4"/>
      <c r="I75" s="27"/>
      <c r="J75" s="27">
        <v>3500000</v>
      </c>
      <c r="K75" s="1"/>
      <c r="L75" s="1"/>
      <c r="M75" s="1"/>
      <c r="N75" s="1"/>
      <c r="O75" s="1"/>
    </row>
    <row r="76" spans="1:15" ht="15">
      <c r="A76" s="2"/>
      <c r="B76" s="13" t="s">
        <v>75</v>
      </c>
      <c r="C76" s="36">
        <v>636</v>
      </c>
      <c r="D76" s="19"/>
      <c r="E76" s="27"/>
      <c r="F76" s="27"/>
      <c r="G76" s="27"/>
      <c r="H76" s="4"/>
      <c r="I76" s="27"/>
      <c r="J76" s="27"/>
      <c r="K76" s="1"/>
      <c r="L76" s="1"/>
      <c r="M76" s="1"/>
      <c r="N76" s="1"/>
      <c r="O76" s="1"/>
    </row>
    <row r="77" spans="1:15" ht="15">
      <c r="A77" s="2"/>
      <c r="B77" s="13" t="s">
        <v>76</v>
      </c>
      <c r="C77" s="36" t="s">
        <v>124</v>
      </c>
      <c r="D77" s="19">
        <v>7112176.91</v>
      </c>
      <c r="E77" s="27">
        <v>5621681.11</v>
      </c>
      <c r="F77" s="27"/>
      <c r="G77" s="27"/>
      <c r="H77" s="4"/>
      <c r="I77" s="27">
        <v>7000000</v>
      </c>
      <c r="J77" s="27">
        <v>7500000</v>
      </c>
      <c r="K77" s="1"/>
      <c r="L77" s="1"/>
      <c r="M77" s="1"/>
      <c r="N77" s="1"/>
      <c r="O77" s="1"/>
    </row>
    <row r="78" spans="1:15" ht="15">
      <c r="A78" s="2"/>
      <c r="B78" s="13" t="s">
        <v>77</v>
      </c>
      <c r="C78" s="36" t="s">
        <v>125</v>
      </c>
      <c r="D78" s="19">
        <v>640505.54</v>
      </c>
      <c r="E78" s="27">
        <v>511424.15</v>
      </c>
      <c r="F78" s="27"/>
      <c r="G78" s="27"/>
      <c r="H78" s="4"/>
      <c r="I78" s="27">
        <v>500000</v>
      </c>
      <c r="J78" s="27">
        <v>500000</v>
      </c>
      <c r="K78" s="1"/>
      <c r="L78" s="1"/>
      <c r="M78" s="1"/>
      <c r="N78" s="1"/>
      <c r="O78" s="1"/>
    </row>
    <row r="79" spans="1:15" ht="15">
      <c r="A79" s="2"/>
      <c r="B79" s="13" t="s">
        <v>78</v>
      </c>
      <c r="C79" s="36">
        <v>637</v>
      </c>
      <c r="D79" s="19"/>
      <c r="E79" s="27"/>
      <c r="F79" s="27"/>
      <c r="G79" s="27"/>
      <c r="H79" s="4"/>
      <c r="I79" s="27"/>
      <c r="J79" s="27"/>
      <c r="K79" s="1"/>
      <c r="L79" s="1"/>
      <c r="M79" s="1"/>
      <c r="N79" s="1"/>
      <c r="O79" s="1"/>
    </row>
    <row r="80" spans="1:15" ht="15">
      <c r="A80" s="2"/>
      <c r="B80" s="13" t="s">
        <v>79</v>
      </c>
      <c r="C80" s="36" t="s">
        <v>126</v>
      </c>
      <c r="D80" s="19">
        <v>3281474.79</v>
      </c>
      <c r="E80" s="27">
        <v>3474124.22</v>
      </c>
      <c r="F80" s="27"/>
      <c r="G80" s="27"/>
      <c r="H80" s="4"/>
      <c r="I80" s="27">
        <v>6300000</v>
      </c>
      <c r="J80" s="27">
        <v>6000000</v>
      </c>
      <c r="K80" s="1"/>
      <c r="L80" s="1"/>
      <c r="M80" s="1"/>
      <c r="N80" s="1"/>
      <c r="O80" s="1"/>
    </row>
    <row r="81" spans="1:15" ht="15">
      <c r="A81" s="2"/>
      <c r="B81" s="13" t="s">
        <v>80</v>
      </c>
      <c r="C81" s="36" t="s">
        <v>127</v>
      </c>
      <c r="D81" s="19">
        <v>990313.2</v>
      </c>
      <c r="E81" s="27">
        <v>1145130.02</v>
      </c>
      <c r="F81" s="27"/>
      <c r="G81" s="27"/>
      <c r="H81" s="4"/>
      <c r="I81" s="27">
        <v>2000000</v>
      </c>
      <c r="J81" s="27">
        <v>2000000</v>
      </c>
      <c r="K81" s="1"/>
      <c r="L81" s="1"/>
      <c r="M81" s="1"/>
      <c r="N81" s="1"/>
      <c r="O81" s="1"/>
    </row>
    <row r="82" spans="1:15" ht="15">
      <c r="A82" s="2"/>
      <c r="B82" s="13" t="s">
        <v>81</v>
      </c>
      <c r="C82" s="36" t="s">
        <v>128</v>
      </c>
      <c r="D82" s="19">
        <v>169200</v>
      </c>
      <c r="E82" s="27">
        <v>184980</v>
      </c>
      <c r="F82" s="27"/>
      <c r="G82" s="27"/>
      <c r="H82" s="4"/>
      <c r="I82" s="27">
        <v>250000</v>
      </c>
      <c r="J82" s="27">
        <v>250000</v>
      </c>
      <c r="K82" s="1"/>
      <c r="L82" s="1"/>
      <c r="M82" s="1"/>
      <c r="N82" s="1"/>
      <c r="O82" s="1"/>
    </row>
    <row r="83" spans="1:15" ht="15">
      <c r="A83" s="2"/>
      <c r="B83" s="13" t="s">
        <v>82</v>
      </c>
      <c r="C83" s="36" t="s">
        <v>129</v>
      </c>
      <c r="D83" s="19">
        <v>17910</v>
      </c>
      <c r="E83" s="27">
        <v>7600</v>
      </c>
      <c r="F83" s="27"/>
      <c r="G83" s="27"/>
      <c r="H83" s="4"/>
      <c r="I83" s="27"/>
      <c r="J83" s="27"/>
      <c r="K83" s="1"/>
      <c r="L83" s="1"/>
      <c r="M83" s="1"/>
      <c r="N83" s="1"/>
      <c r="O83" s="1"/>
    </row>
    <row r="84" spans="1:15" ht="15">
      <c r="A84" s="2"/>
      <c r="B84" s="13" t="s">
        <v>83</v>
      </c>
      <c r="C84" s="36" t="s">
        <v>130</v>
      </c>
      <c r="D84" s="19">
        <v>5200</v>
      </c>
      <c r="E84" s="27">
        <v>24984.98</v>
      </c>
      <c r="F84" s="27"/>
      <c r="G84" s="27"/>
      <c r="H84" s="4"/>
      <c r="I84" s="27"/>
      <c r="J84" s="27"/>
      <c r="K84" s="1"/>
      <c r="L84" s="1"/>
      <c r="M84" s="1"/>
      <c r="N84" s="1"/>
      <c r="O84" s="1"/>
    </row>
    <row r="85" spans="1:15" ht="15">
      <c r="A85" s="2"/>
      <c r="B85" s="13" t="s">
        <v>134</v>
      </c>
      <c r="C85" s="36">
        <v>638</v>
      </c>
      <c r="D85" s="19">
        <v>1382479.16</v>
      </c>
      <c r="E85" s="27">
        <v>2260295.04</v>
      </c>
      <c r="F85" s="27"/>
      <c r="G85" s="27"/>
      <c r="H85" s="4"/>
      <c r="I85" s="27">
        <v>3000000</v>
      </c>
      <c r="J85" s="27">
        <v>3000000</v>
      </c>
      <c r="K85" s="1"/>
      <c r="L85" s="1"/>
      <c r="M85" s="1"/>
      <c r="N85" s="1"/>
      <c r="O85" s="1"/>
    </row>
    <row r="86" spans="1:15" ht="15">
      <c r="A86" s="2"/>
      <c r="B86" s="13" t="s">
        <v>10</v>
      </c>
      <c r="C86" s="36">
        <v>642</v>
      </c>
      <c r="D86" s="19"/>
      <c r="E86" s="27"/>
      <c r="F86" s="27"/>
      <c r="G86" s="27"/>
      <c r="H86" s="4"/>
      <c r="I86" s="27"/>
      <c r="J86" s="27"/>
      <c r="K86" s="1"/>
      <c r="L86" s="1"/>
      <c r="M86" s="1"/>
      <c r="N86" s="1"/>
      <c r="O86" s="1"/>
    </row>
    <row r="87" spans="1:15" ht="15">
      <c r="A87" s="2"/>
      <c r="B87" s="13" t="s">
        <v>84</v>
      </c>
      <c r="C87" s="36" t="s">
        <v>131</v>
      </c>
      <c r="D87" s="19">
        <v>49404</v>
      </c>
      <c r="E87" s="27">
        <v>155180.89</v>
      </c>
      <c r="F87" s="27"/>
      <c r="G87" s="27"/>
      <c r="H87" s="4"/>
      <c r="I87" s="27">
        <v>2000000</v>
      </c>
      <c r="J87" s="27"/>
      <c r="K87" s="1"/>
      <c r="L87" s="1"/>
      <c r="M87" s="1"/>
      <c r="N87" s="1"/>
      <c r="O87" s="1"/>
    </row>
    <row r="88" spans="1:15" ht="15">
      <c r="A88" s="2"/>
      <c r="B88" s="13" t="s">
        <v>85</v>
      </c>
      <c r="C88" s="36" t="s">
        <v>132</v>
      </c>
      <c r="D88" s="19">
        <v>381700</v>
      </c>
      <c r="E88" s="27">
        <v>826507</v>
      </c>
      <c r="F88" s="27"/>
      <c r="G88" s="27"/>
      <c r="H88" s="4"/>
      <c r="I88" s="27">
        <v>2000000</v>
      </c>
      <c r="J88" s="27">
        <v>1000000</v>
      </c>
      <c r="K88" s="1"/>
      <c r="L88" s="1"/>
      <c r="M88" s="1"/>
      <c r="N88" s="1"/>
      <c r="O88" s="1"/>
    </row>
    <row r="89" spans="1:15" ht="15">
      <c r="A89" s="2"/>
      <c r="B89" s="29" t="s">
        <v>86</v>
      </c>
      <c r="C89" s="37" t="s">
        <v>133</v>
      </c>
      <c r="D89" s="19">
        <v>270197.72</v>
      </c>
      <c r="E89" s="28">
        <v>249413.28</v>
      </c>
      <c r="F89" s="28"/>
      <c r="G89" s="28"/>
      <c r="H89" s="4"/>
      <c r="I89" s="28"/>
      <c r="J89" s="28"/>
      <c r="K89" s="1"/>
      <c r="L89" s="1"/>
      <c r="M89" s="1"/>
      <c r="N89" s="1"/>
      <c r="O89" s="1"/>
    </row>
    <row r="90" spans="1:15" ht="15">
      <c r="A90" s="2"/>
      <c r="B90" s="32" t="s">
        <v>87</v>
      </c>
      <c r="C90" s="36">
        <v>648</v>
      </c>
      <c r="D90" s="19">
        <v>7389723.31</v>
      </c>
      <c r="E90" s="27">
        <v>2937658.71</v>
      </c>
      <c r="F90" s="33"/>
      <c r="G90" s="33"/>
      <c r="H90" s="4"/>
      <c r="I90" s="33">
        <v>5440000</v>
      </c>
      <c r="J90" s="27">
        <v>4220000</v>
      </c>
      <c r="K90" s="1"/>
      <c r="L90" s="1"/>
      <c r="M90" s="1"/>
      <c r="N90" s="1"/>
      <c r="O90" s="1"/>
    </row>
    <row r="91" spans="1:15" ht="15">
      <c r="A91" s="2"/>
      <c r="B91" s="32" t="s">
        <v>141</v>
      </c>
      <c r="C91" s="36">
        <v>649</v>
      </c>
      <c r="D91" s="19">
        <v>1126374.5</v>
      </c>
      <c r="E91" s="27">
        <v>559897</v>
      </c>
      <c r="F91" s="27"/>
      <c r="G91" s="27"/>
      <c r="H91" s="4"/>
      <c r="I91" s="27">
        <v>650000</v>
      </c>
      <c r="J91" s="27">
        <v>650000</v>
      </c>
      <c r="K91" s="1"/>
      <c r="L91" s="1"/>
      <c r="M91" s="1"/>
      <c r="N91" s="1"/>
      <c r="O91" s="1"/>
    </row>
    <row r="92" spans="1:15" ht="15">
      <c r="A92" s="2"/>
      <c r="B92" s="32" t="s">
        <v>11</v>
      </c>
      <c r="C92" s="36">
        <v>662</v>
      </c>
      <c r="D92" s="19"/>
      <c r="E92" s="27"/>
      <c r="F92" s="27"/>
      <c r="G92" s="27"/>
      <c r="H92" s="4"/>
      <c r="I92" s="27"/>
      <c r="J92" s="27"/>
      <c r="K92" s="1"/>
      <c r="L92" s="1"/>
      <c r="M92" s="1"/>
      <c r="N92" s="1"/>
      <c r="O92" s="1"/>
    </row>
    <row r="93" spans="1:15" ht="15">
      <c r="A93" s="2"/>
      <c r="B93" s="32" t="s">
        <v>12</v>
      </c>
      <c r="C93" s="36">
        <v>664</v>
      </c>
      <c r="D93" s="19">
        <v>337968.93</v>
      </c>
      <c r="E93" s="27">
        <v>200541.89</v>
      </c>
      <c r="F93" s="27"/>
      <c r="G93" s="27"/>
      <c r="H93" s="4"/>
      <c r="I93" s="27">
        <v>100000</v>
      </c>
      <c r="J93" s="27">
        <v>150000</v>
      </c>
      <c r="K93" s="1"/>
      <c r="L93" s="1"/>
      <c r="M93" s="1"/>
      <c r="N93" s="1"/>
      <c r="O93" s="1"/>
    </row>
    <row r="94" spans="1:15" ht="15">
      <c r="A94" s="2"/>
      <c r="B94" s="32" t="s">
        <v>13</v>
      </c>
      <c r="C94" s="36">
        <v>665</v>
      </c>
      <c r="D94" s="19">
        <v>797103830</v>
      </c>
      <c r="E94" s="27">
        <v>996627961</v>
      </c>
      <c r="F94" s="27"/>
      <c r="G94" s="27"/>
      <c r="H94" s="4"/>
      <c r="I94" s="27">
        <v>844000000</v>
      </c>
      <c r="J94" s="27">
        <v>893000000</v>
      </c>
      <c r="K94" s="1"/>
      <c r="L94" s="1"/>
      <c r="M94" s="1"/>
      <c r="N94" s="1"/>
      <c r="O94" s="1"/>
    </row>
    <row r="95" spans="1:15" ht="15">
      <c r="A95" s="2"/>
      <c r="B95" s="32" t="s">
        <v>14</v>
      </c>
      <c r="C95" s="36">
        <v>670</v>
      </c>
      <c r="D95" s="19">
        <v>540609.68</v>
      </c>
      <c r="E95" s="27">
        <v>618934.7</v>
      </c>
      <c r="F95" s="27"/>
      <c r="G95" s="27"/>
      <c r="H95" s="4"/>
      <c r="I95" s="27">
        <v>500000</v>
      </c>
      <c r="J95" s="27">
        <v>500000</v>
      </c>
      <c r="K95" s="1"/>
      <c r="L95" s="1"/>
      <c r="M95" s="1"/>
      <c r="N95" s="1"/>
      <c r="O95" s="1"/>
    </row>
    <row r="96" spans="1:15" ht="15">
      <c r="A96" s="2"/>
      <c r="B96" s="32" t="s">
        <v>88</v>
      </c>
      <c r="C96" s="36">
        <v>678</v>
      </c>
      <c r="D96" s="19">
        <v>203275.68</v>
      </c>
      <c r="E96" s="27"/>
      <c r="F96" s="27"/>
      <c r="G96" s="27"/>
      <c r="H96" s="4"/>
      <c r="I96" s="27"/>
      <c r="J96" s="27"/>
      <c r="K96" s="1"/>
      <c r="L96" s="1"/>
      <c r="M96" s="1"/>
      <c r="N96" s="1"/>
      <c r="O96" s="1"/>
    </row>
    <row r="97" spans="1:15" ht="15">
      <c r="A97" s="2"/>
      <c r="B97" s="32" t="s">
        <v>89</v>
      </c>
      <c r="C97" s="36">
        <v>684</v>
      </c>
      <c r="D97" s="19">
        <v>2033043.99</v>
      </c>
      <c r="E97" s="27">
        <v>1735565.31</v>
      </c>
      <c r="F97" s="27"/>
      <c r="G97" s="27"/>
      <c r="H97" s="4"/>
      <c r="I97" s="27">
        <v>2050000</v>
      </c>
      <c r="J97" s="27">
        <v>1050000</v>
      </c>
      <c r="K97" s="1"/>
      <c r="L97" s="1"/>
      <c r="M97" s="1"/>
      <c r="N97" s="1"/>
      <c r="O97" s="1"/>
    </row>
    <row r="98" spans="1:15" ht="15">
      <c r="A98" s="2"/>
      <c r="B98" s="32" t="s">
        <v>144</v>
      </c>
      <c r="C98" s="36"/>
      <c r="D98" s="19"/>
      <c r="E98" s="27"/>
      <c r="F98" s="27"/>
      <c r="G98" s="27"/>
      <c r="H98" s="4"/>
      <c r="I98" s="27"/>
      <c r="J98" s="27">
        <v>2000000</v>
      </c>
      <c r="K98" s="1"/>
      <c r="L98" s="1"/>
      <c r="M98" s="1"/>
      <c r="N98" s="1"/>
      <c r="O98" s="1"/>
    </row>
    <row r="99" spans="1:15" ht="15">
      <c r="A99" s="2"/>
      <c r="B99" s="32" t="s">
        <v>145</v>
      </c>
      <c r="C99" s="36">
        <v>424</v>
      </c>
      <c r="D99" s="19"/>
      <c r="E99" s="27"/>
      <c r="F99" s="27"/>
      <c r="G99" s="27"/>
      <c r="H99" s="4"/>
      <c r="I99" s="27"/>
      <c r="J99" s="27">
        <v>1500000</v>
      </c>
      <c r="K99" s="1"/>
      <c r="L99" s="1"/>
      <c r="M99" s="1"/>
      <c r="N99" s="1"/>
      <c r="O99" s="1"/>
    </row>
    <row r="100" spans="1:15" ht="15">
      <c r="A100" s="2"/>
      <c r="B100" s="32" t="s">
        <v>146</v>
      </c>
      <c r="C100" s="36"/>
      <c r="D100" s="19"/>
      <c r="E100" s="27"/>
      <c r="F100" s="27"/>
      <c r="G100" s="27"/>
      <c r="H100" s="4"/>
      <c r="I100" s="27">
        <v>150000000</v>
      </c>
      <c r="J100" s="27">
        <v>300000000</v>
      </c>
      <c r="K100" s="1"/>
      <c r="L100" s="1"/>
      <c r="M100" s="1"/>
      <c r="N100" s="1"/>
      <c r="O100" s="1"/>
    </row>
    <row r="101" spans="1:15" ht="15">
      <c r="A101" s="2"/>
      <c r="B101" s="32" t="s">
        <v>147</v>
      </c>
      <c r="C101" s="36"/>
      <c r="D101" s="19"/>
      <c r="E101" s="27"/>
      <c r="F101" s="27"/>
      <c r="G101" s="27"/>
      <c r="H101" s="4"/>
      <c r="I101" s="27"/>
      <c r="J101" s="27">
        <v>50000000</v>
      </c>
      <c r="K101" s="1"/>
      <c r="L101" s="1"/>
      <c r="M101" s="1"/>
      <c r="N101" s="1"/>
      <c r="O101" s="1"/>
    </row>
    <row r="102" spans="1:15" ht="15">
      <c r="A102" s="2"/>
      <c r="B102" s="6"/>
      <c r="C102" s="6"/>
      <c r="D102" s="20"/>
      <c r="E102" s="27"/>
      <c r="F102" s="28"/>
      <c r="G102" s="28"/>
      <c r="H102" s="4"/>
      <c r="I102" s="28"/>
      <c r="J102" s="27"/>
      <c r="K102" s="1"/>
      <c r="L102" s="1"/>
      <c r="M102" s="1"/>
      <c r="N102" s="1"/>
      <c r="O102" s="1"/>
    </row>
    <row r="103" spans="1:15" ht="15">
      <c r="A103" s="2"/>
      <c r="B103" s="12"/>
      <c r="C103" s="16"/>
      <c r="D103" s="17"/>
      <c r="E103" s="17"/>
      <c r="F103" s="17"/>
      <c r="G103" s="17"/>
      <c r="H103" s="16"/>
      <c r="I103" s="45"/>
      <c r="J103" s="49"/>
      <c r="K103" s="1"/>
      <c r="L103" s="1"/>
      <c r="M103" s="1"/>
      <c r="N103" s="1"/>
      <c r="O103" s="1"/>
    </row>
    <row r="104" spans="1:15" ht="15">
      <c r="A104" s="2"/>
      <c r="B104" s="18"/>
      <c r="C104" s="4"/>
      <c r="D104" s="20"/>
      <c r="E104" s="20"/>
      <c r="F104" s="20"/>
      <c r="G104" s="20"/>
      <c r="H104" s="4"/>
      <c r="I104" s="46"/>
      <c r="J104" s="43"/>
      <c r="K104" s="1"/>
      <c r="L104" s="1"/>
      <c r="M104" s="1"/>
      <c r="N104" s="1"/>
      <c r="O104" s="1"/>
    </row>
    <row r="105" spans="1:15" ht="16.5" thickBot="1">
      <c r="A105" s="2"/>
      <c r="B105" s="23" t="s">
        <v>25</v>
      </c>
      <c r="C105" s="24"/>
      <c r="D105" s="48">
        <f>SUM(D12:D101)</f>
        <v>935107502.81</v>
      </c>
      <c r="E105" s="25">
        <f>SUM(E12:E101)</f>
        <v>1168333982.73</v>
      </c>
      <c r="F105" s="25">
        <f>SUM(F12:F101)</f>
        <v>0</v>
      </c>
      <c r="G105" s="50">
        <f>SUM(G12:G101)</f>
        <v>0</v>
      </c>
      <c r="H105" s="51"/>
      <c r="I105" s="25">
        <f>SUM(I14:I101)</f>
        <v>1177840000</v>
      </c>
      <c r="J105" s="52">
        <f>SUM(J14:J101)</f>
        <v>1488495000</v>
      </c>
      <c r="K105" s="1"/>
      <c r="L105" s="1"/>
      <c r="M105" s="1"/>
      <c r="N105" s="1"/>
      <c r="O105" s="1"/>
    </row>
    <row r="106" spans="1:15" ht="15.75" thickTop="1">
      <c r="A106" s="2"/>
      <c r="B106" s="14"/>
      <c r="C106" s="21"/>
      <c r="D106" s="22"/>
      <c r="E106" s="22"/>
      <c r="F106" s="22"/>
      <c r="G106" s="22"/>
      <c r="H106" s="21"/>
      <c r="I106" s="47"/>
      <c r="J106" s="44"/>
      <c r="K106" s="1"/>
      <c r="L106" s="1"/>
      <c r="M106" s="1"/>
      <c r="N106" s="1"/>
      <c r="O106" s="1"/>
    </row>
    <row r="107" spans="1:15" ht="15">
      <c r="A107" s="2"/>
      <c r="B107" s="4"/>
      <c r="C107" s="4"/>
      <c r="D107" s="8"/>
      <c r="E107" s="8"/>
      <c r="F107" s="8"/>
      <c r="G107" s="8"/>
      <c r="H107" s="2"/>
      <c r="I107" s="34"/>
      <c r="J107" s="2"/>
      <c r="K107" s="1"/>
      <c r="L107" s="1"/>
      <c r="M107" s="1"/>
      <c r="N107" s="1"/>
      <c r="O107" s="1"/>
    </row>
    <row r="108" spans="1:15" ht="15.75" hidden="1" thickBot="1">
      <c r="A108" s="2"/>
      <c r="B108" s="4"/>
      <c r="C108" s="4"/>
      <c r="D108" s="8"/>
      <c r="E108" s="25">
        <f>+E105-1168333982.73</f>
        <v>0</v>
      </c>
      <c r="F108" s="8"/>
      <c r="G108" s="8"/>
      <c r="H108" s="2"/>
      <c r="I108" s="34">
        <f>+I105-1177840</f>
        <v>1176662160</v>
      </c>
      <c r="J108" s="2"/>
      <c r="K108" s="1"/>
      <c r="L108" s="1"/>
      <c r="M108" s="1"/>
      <c r="N108" s="1"/>
      <c r="O108" s="1"/>
    </row>
    <row r="109" spans="1:15" ht="15">
      <c r="A109" s="2"/>
      <c r="B109" s="4" t="s">
        <v>135</v>
      </c>
      <c r="C109" s="4"/>
      <c r="D109" s="8"/>
      <c r="E109" s="8"/>
      <c r="F109" s="8"/>
      <c r="G109" s="8"/>
      <c r="H109" s="2"/>
      <c r="I109" s="34"/>
      <c r="J109" s="2"/>
      <c r="K109" s="1"/>
      <c r="L109" s="1"/>
      <c r="M109" s="1"/>
      <c r="N109" s="1"/>
      <c r="O109" s="1"/>
    </row>
    <row r="110" spans="1:15" ht="15">
      <c r="A110" s="2"/>
      <c r="B110" s="4"/>
      <c r="C110" s="4"/>
      <c r="D110" s="8"/>
      <c r="E110" s="8"/>
      <c r="F110" s="8"/>
      <c r="G110" s="8"/>
      <c r="H110" s="2"/>
      <c r="I110" s="34"/>
      <c r="J110" s="2"/>
      <c r="K110" s="1"/>
      <c r="L110" s="1"/>
      <c r="M110" s="1"/>
      <c r="N110" s="1"/>
      <c r="O110" s="1"/>
    </row>
    <row r="111" spans="1:15" ht="15">
      <c r="A111" s="2"/>
      <c r="B111" s="4"/>
      <c r="C111" s="4"/>
      <c r="D111" s="8"/>
      <c r="E111" s="8"/>
      <c r="F111" s="8"/>
      <c r="G111" s="8"/>
      <c r="H111" s="2"/>
      <c r="I111" s="34"/>
      <c r="J111" s="2"/>
      <c r="K111" s="1"/>
      <c r="L111" s="1"/>
      <c r="M111" s="1"/>
      <c r="N111" s="1"/>
      <c r="O111" s="1"/>
    </row>
    <row r="112" spans="1:15" ht="15">
      <c r="A112" s="2"/>
      <c r="B112" s="11" t="s">
        <v>137</v>
      </c>
      <c r="C112" s="4"/>
      <c r="D112" s="8"/>
      <c r="E112" s="15" t="s">
        <v>153</v>
      </c>
      <c r="F112" s="15"/>
      <c r="G112" s="8"/>
      <c r="H112" s="2"/>
      <c r="I112" s="34"/>
      <c r="J112" s="2"/>
      <c r="K112" s="1"/>
      <c r="L112" s="1"/>
      <c r="M112" s="1"/>
      <c r="N112" s="1"/>
      <c r="O112" s="1"/>
    </row>
    <row r="113" spans="1:15" ht="15">
      <c r="A113" s="2"/>
      <c r="B113" s="4" t="s">
        <v>136</v>
      </c>
      <c r="C113" s="4"/>
      <c r="D113" s="8"/>
      <c r="E113" s="8" t="s">
        <v>154</v>
      </c>
      <c r="F113" s="8"/>
      <c r="G113" s="8"/>
      <c r="H113" s="2"/>
      <c r="I113" s="34"/>
      <c r="J113" s="2"/>
      <c r="K113" s="1"/>
      <c r="L113" s="1"/>
      <c r="M113" s="1"/>
      <c r="N113" s="1"/>
      <c r="O113" s="1"/>
    </row>
    <row r="114" spans="1:15" ht="15">
      <c r="A114" s="2"/>
      <c r="B114" s="4"/>
      <c r="C114" s="4"/>
      <c r="D114" s="8"/>
      <c r="E114" s="8"/>
      <c r="F114" s="8"/>
      <c r="G114" s="8"/>
      <c r="H114" s="2"/>
      <c r="I114" s="34"/>
      <c r="J114" s="2"/>
      <c r="K114" s="1"/>
      <c r="L114" s="1"/>
      <c r="M114" s="1"/>
      <c r="N114" s="1"/>
      <c r="O114" s="1"/>
    </row>
    <row r="115" spans="1:15" ht="15">
      <c r="A115" s="2"/>
      <c r="B115" s="11" t="s">
        <v>151</v>
      </c>
      <c r="C115" s="10"/>
      <c r="D115" s="8"/>
      <c r="E115" s="8"/>
      <c r="F115" s="8"/>
      <c r="G115" s="8"/>
      <c r="H115" s="2"/>
      <c r="I115" s="34"/>
      <c r="J115" s="2"/>
      <c r="K115" s="1"/>
      <c r="L115" s="1"/>
      <c r="M115" s="1"/>
      <c r="N115" s="1"/>
      <c r="O115" s="1"/>
    </row>
    <row r="116" spans="1:15" ht="15">
      <c r="A116" s="2"/>
      <c r="B116" s="4" t="s">
        <v>152</v>
      </c>
      <c r="C116" s="4"/>
      <c r="D116" s="8"/>
      <c r="E116" s="8"/>
      <c r="F116" s="8"/>
      <c r="G116" s="8"/>
      <c r="H116" s="2"/>
      <c r="I116" s="34"/>
      <c r="J116" s="2"/>
      <c r="K116" s="1"/>
      <c r="L116" s="1"/>
      <c r="M116" s="1"/>
      <c r="N116" s="1"/>
      <c r="O116" s="1"/>
    </row>
    <row r="117" spans="1:15" ht="15">
      <c r="A117" s="2"/>
      <c r="B117" s="4"/>
      <c r="C117" s="4"/>
      <c r="D117" s="8"/>
      <c r="E117" s="8"/>
      <c r="F117" s="8"/>
      <c r="G117" s="8"/>
      <c r="H117" s="2"/>
      <c r="I117" s="34"/>
      <c r="J117" s="2"/>
      <c r="K117" s="1"/>
      <c r="L117" s="1"/>
      <c r="M117" s="1"/>
      <c r="N117" s="1"/>
      <c r="O117" s="1"/>
    </row>
    <row r="118" spans="1:15" ht="15">
      <c r="A118" s="2"/>
      <c r="B118" s="4"/>
      <c r="C118" s="4"/>
      <c r="D118" s="8"/>
      <c r="E118" s="8"/>
      <c r="F118" s="8"/>
      <c r="G118" s="8"/>
      <c r="H118" s="2"/>
      <c r="I118" s="34"/>
      <c r="J118" s="2"/>
      <c r="K118" s="1"/>
      <c r="L118" s="1"/>
      <c r="M118" s="1"/>
      <c r="N118" s="1"/>
      <c r="O118" s="1"/>
    </row>
    <row r="119" spans="1:15" ht="15">
      <c r="A119" s="2"/>
      <c r="B119" s="4"/>
      <c r="C119" s="4"/>
      <c r="D119" s="8"/>
      <c r="E119" s="8"/>
      <c r="F119" s="8"/>
      <c r="G119" s="8"/>
      <c r="H119" s="2"/>
      <c r="I119" s="34"/>
      <c r="J119" s="2"/>
      <c r="K119" s="1"/>
      <c r="L119" s="1"/>
      <c r="M119" s="1"/>
      <c r="N119" s="1"/>
      <c r="O119" s="1"/>
    </row>
    <row r="120" spans="1:15" ht="15">
      <c r="A120" s="2"/>
      <c r="B120" s="4"/>
      <c r="C120" s="4"/>
      <c r="D120" s="8"/>
      <c r="E120" s="8"/>
      <c r="F120" s="8"/>
      <c r="G120" s="8"/>
      <c r="H120" s="2"/>
      <c r="I120" s="34"/>
      <c r="J120" s="2"/>
      <c r="K120" s="1"/>
      <c r="L120" s="1"/>
      <c r="M120" s="1"/>
      <c r="N120" s="1"/>
      <c r="O120" s="1"/>
    </row>
    <row r="121" spans="1:15" ht="15">
      <c r="A121" s="2"/>
      <c r="B121" s="4"/>
      <c r="C121" s="4"/>
      <c r="D121" s="8"/>
      <c r="E121" s="8"/>
      <c r="F121" s="8"/>
      <c r="G121" s="8"/>
      <c r="H121" s="2"/>
      <c r="I121" s="34"/>
      <c r="J121" s="2"/>
      <c r="K121" s="1"/>
      <c r="L121" s="1"/>
      <c r="M121" s="1"/>
      <c r="N121" s="1"/>
      <c r="O121" s="1"/>
    </row>
    <row r="122" spans="1:15" ht="15">
      <c r="A122" s="2"/>
      <c r="B122" s="4"/>
      <c r="C122" s="4"/>
      <c r="D122" s="8"/>
      <c r="E122" s="8"/>
      <c r="F122" s="8"/>
      <c r="G122" s="8"/>
      <c r="H122" s="2"/>
      <c r="I122" s="34"/>
      <c r="J122" s="2"/>
      <c r="K122" s="1"/>
      <c r="L122" s="1"/>
      <c r="M122" s="1"/>
      <c r="N122" s="1"/>
      <c r="O122" s="1"/>
    </row>
    <row r="123" spans="1:15" ht="15">
      <c r="A123" s="2"/>
      <c r="B123" s="4"/>
      <c r="C123" s="4"/>
      <c r="D123" s="8"/>
      <c r="E123" s="8"/>
      <c r="F123" s="8"/>
      <c r="G123" s="8"/>
      <c r="H123" s="2"/>
      <c r="I123" s="34"/>
      <c r="J123" s="2"/>
      <c r="K123" s="1"/>
      <c r="L123" s="1"/>
      <c r="M123" s="1"/>
      <c r="N123" s="1"/>
      <c r="O123" s="1"/>
    </row>
    <row r="124" spans="1:15" ht="15">
      <c r="A124" s="2"/>
      <c r="B124" s="4"/>
      <c r="C124" s="4"/>
      <c r="D124" s="8"/>
      <c r="E124" s="8"/>
      <c r="F124" s="8"/>
      <c r="G124" s="8"/>
      <c r="H124" s="2"/>
      <c r="I124" s="30"/>
      <c r="J124" s="2"/>
      <c r="K124" s="1"/>
      <c r="L124" s="1"/>
      <c r="M124" s="1"/>
      <c r="N124" s="1"/>
      <c r="O124" s="1"/>
    </row>
    <row r="125" spans="1:15" ht="15">
      <c r="A125" s="2"/>
      <c r="B125" s="4"/>
      <c r="C125" s="4"/>
      <c r="D125" s="8"/>
      <c r="E125" s="8"/>
      <c r="F125" s="8"/>
      <c r="G125" s="8"/>
      <c r="H125" s="2"/>
      <c r="I125" s="30"/>
      <c r="J125" s="2"/>
      <c r="K125" s="1"/>
      <c r="L125" s="1"/>
      <c r="M125" s="1"/>
      <c r="N125" s="1"/>
      <c r="O125" s="1"/>
    </row>
    <row r="126" spans="1:15" ht="15">
      <c r="A126" s="2"/>
      <c r="B126" s="4"/>
      <c r="C126" s="4"/>
      <c r="D126" s="8"/>
      <c r="E126" s="8"/>
      <c r="F126" s="8"/>
      <c r="G126" s="8"/>
      <c r="H126" s="2"/>
      <c r="I126" s="30"/>
      <c r="J126" s="2"/>
      <c r="K126" s="1"/>
      <c r="L126" s="1"/>
      <c r="M126" s="1"/>
      <c r="N126" s="1"/>
      <c r="O126" s="1"/>
    </row>
    <row r="127" spans="1:15" ht="15">
      <c r="A127" s="2"/>
      <c r="B127" s="4"/>
      <c r="C127" s="4"/>
      <c r="D127" s="8"/>
      <c r="E127" s="8"/>
      <c r="F127" s="8"/>
      <c r="G127" s="8"/>
      <c r="H127" s="2"/>
      <c r="I127" s="30"/>
      <c r="J127" s="2"/>
      <c r="K127" s="1"/>
      <c r="L127" s="1"/>
      <c r="M127" s="1"/>
      <c r="N127" s="1"/>
      <c r="O127" s="1"/>
    </row>
    <row r="128" spans="1:15" ht="15">
      <c r="A128" s="2"/>
      <c r="B128" s="4"/>
      <c r="C128" s="4"/>
      <c r="D128" s="8"/>
      <c r="E128" s="8"/>
      <c r="F128" s="8"/>
      <c r="G128" s="8"/>
      <c r="H128" s="2"/>
      <c r="I128" s="30"/>
      <c r="J128" s="2"/>
      <c r="K128" s="1"/>
      <c r="L128" s="1"/>
      <c r="M128" s="1"/>
      <c r="N128" s="1"/>
      <c r="O128" s="1"/>
    </row>
    <row r="129" spans="1:15" ht="15">
      <c r="A129" s="2"/>
      <c r="B129" s="4"/>
      <c r="C129" s="4"/>
      <c r="D129" s="8"/>
      <c r="E129" s="8"/>
      <c r="F129" s="8"/>
      <c r="G129" s="8"/>
      <c r="H129" s="2"/>
      <c r="I129" s="30"/>
      <c r="J129" s="2"/>
      <c r="K129" s="1"/>
      <c r="L129" s="1"/>
      <c r="M129" s="1"/>
      <c r="N129" s="1"/>
      <c r="O129" s="1"/>
    </row>
    <row r="130" spans="1:15" ht="15">
      <c r="A130" s="2"/>
      <c r="B130" s="4"/>
      <c r="C130" s="4"/>
      <c r="D130" s="8"/>
      <c r="E130" s="8"/>
      <c r="F130" s="8"/>
      <c r="G130" s="8"/>
      <c r="H130" s="2"/>
      <c r="I130" s="30"/>
      <c r="J130" s="2"/>
      <c r="K130" s="1"/>
      <c r="L130" s="1"/>
      <c r="M130" s="1"/>
      <c r="N130" s="1"/>
      <c r="O130" s="1"/>
    </row>
    <row r="131" spans="1:15" ht="15">
      <c r="A131" s="2"/>
      <c r="B131" s="4"/>
      <c r="C131" s="4"/>
      <c r="D131" s="8"/>
      <c r="E131" s="8"/>
      <c r="F131" s="8"/>
      <c r="G131" s="8"/>
      <c r="H131" s="2"/>
      <c r="I131" s="30"/>
      <c r="J131" s="2"/>
      <c r="K131" s="1"/>
      <c r="L131" s="1"/>
      <c r="M131" s="1"/>
      <c r="N131" s="1"/>
      <c r="O131" s="1"/>
    </row>
    <row r="132" spans="1:15" ht="15">
      <c r="A132" s="2"/>
      <c r="B132" s="4"/>
      <c r="C132" s="4"/>
      <c r="D132" s="8"/>
      <c r="E132" s="8"/>
      <c r="F132" s="8"/>
      <c r="G132" s="8"/>
      <c r="H132" s="2"/>
      <c r="I132" s="30"/>
      <c r="J132" s="2"/>
      <c r="K132" s="1"/>
      <c r="L132" s="1"/>
      <c r="M132" s="1"/>
      <c r="N132" s="1"/>
      <c r="O132" s="1"/>
    </row>
    <row r="133" spans="1:15" ht="15">
      <c r="A133" s="2"/>
      <c r="B133" s="4"/>
      <c r="C133" s="4"/>
      <c r="D133" s="8"/>
      <c r="E133" s="8"/>
      <c r="F133" s="8"/>
      <c r="G133" s="8"/>
      <c r="H133" s="2"/>
      <c r="I133" s="30"/>
      <c r="J133" s="2"/>
      <c r="K133" s="1"/>
      <c r="L133" s="1"/>
      <c r="M133" s="1"/>
      <c r="N133" s="1"/>
      <c r="O133" s="1"/>
    </row>
    <row r="134" spans="1:15" ht="15">
      <c r="A134" s="2"/>
      <c r="B134" s="4"/>
      <c r="C134" s="4"/>
      <c r="D134" s="8"/>
      <c r="E134" s="8"/>
      <c r="F134" s="8"/>
      <c r="G134" s="8"/>
      <c r="H134" s="2"/>
      <c r="I134" s="30"/>
      <c r="J134" s="2"/>
      <c r="K134" s="1"/>
      <c r="L134" s="1"/>
      <c r="M134" s="1"/>
      <c r="N134" s="1"/>
      <c r="O134" s="1"/>
    </row>
    <row r="135" spans="1:15" ht="15">
      <c r="A135" s="2"/>
      <c r="B135" s="4"/>
      <c r="C135" s="4"/>
      <c r="D135" s="8"/>
      <c r="E135" s="8"/>
      <c r="F135" s="8"/>
      <c r="G135" s="8"/>
      <c r="H135" s="2"/>
      <c r="I135" s="30"/>
      <c r="J135" s="2"/>
      <c r="K135" s="1"/>
      <c r="L135" s="1"/>
      <c r="M135" s="1"/>
      <c r="N135" s="1"/>
      <c r="O135" s="1"/>
    </row>
    <row r="136" spans="1:15" ht="15">
      <c r="A136" s="2"/>
      <c r="B136" s="4"/>
      <c r="C136" s="4"/>
      <c r="D136" s="8"/>
      <c r="E136" s="8"/>
      <c r="F136" s="8"/>
      <c r="G136" s="8"/>
      <c r="H136" s="2"/>
      <c r="I136" s="30"/>
      <c r="J136" s="2"/>
      <c r="K136" s="1"/>
      <c r="L136" s="1"/>
      <c r="M136" s="1"/>
      <c r="N136" s="1"/>
      <c r="O136" s="1"/>
    </row>
    <row r="137" spans="1:15" ht="15">
      <c r="A137" s="2"/>
      <c r="B137" s="4"/>
      <c r="C137" s="4"/>
      <c r="D137" s="8"/>
      <c r="E137" s="8"/>
      <c r="F137" s="8"/>
      <c r="G137" s="8"/>
      <c r="H137" s="2"/>
      <c r="I137" s="30"/>
      <c r="J137" s="2"/>
      <c r="K137" s="1"/>
      <c r="L137" s="1"/>
      <c r="M137" s="1"/>
      <c r="N137" s="1"/>
      <c r="O137" s="1"/>
    </row>
    <row r="138" spans="1:15" ht="15">
      <c r="A138" s="2"/>
      <c r="B138" s="2"/>
      <c r="C138" s="2"/>
      <c r="D138" s="8"/>
      <c r="E138" s="8"/>
      <c r="F138" s="8"/>
      <c r="G138" s="8"/>
      <c r="H138" s="2"/>
      <c r="I138" s="30"/>
      <c r="J138" s="2"/>
      <c r="K138" s="1"/>
      <c r="L138" s="1"/>
      <c r="M138" s="1"/>
      <c r="N138" s="1"/>
      <c r="O138" s="1"/>
    </row>
    <row r="139" spans="1:15" ht="15">
      <c r="A139" s="2"/>
      <c r="B139" s="2"/>
      <c r="C139" s="2"/>
      <c r="D139" s="8"/>
      <c r="E139" s="8"/>
      <c r="F139" s="8"/>
      <c r="G139" s="8"/>
      <c r="H139" s="2"/>
      <c r="I139" s="30"/>
      <c r="J139" s="2"/>
      <c r="K139" s="1"/>
      <c r="L139" s="1"/>
      <c r="M139" s="1"/>
      <c r="N139" s="1"/>
      <c r="O139" s="1"/>
    </row>
    <row r="140" spans="1:15" ht="15">
      <c r="A140" s="2"/>
      <c r="B140" s="2"/>
      <c r="C140" s="2"/>
      <c r="D140" s="8"/>
      <c r="E140" s="8"/>
      <c r="F140" s="8"/>
      <c r="G140" s="8"/>
      <c r="H140" s="2"/>
      <c r="I140" s="30"/>
      <c r="J140" s="2"/>
      <c r="K140" s="1"/>
      <c r="L140" s="1"/>
      <c r="M140" s="1"/>
      <c r="N140" s="1"/>
      <c r="O140" s="1"/>
    </row>
    <row r="141" spans="1:15" ht="15">
      <c r="A141" s="2"/>
      <c r="B141" s="2"/>
      <c r="C141" s="2"/>
      <c r="D141" s="8"/>
      <c r="E141" s="8"/>
      <c r="F141" s="8"/>
      <c r="G141" s="8"/>
      <c r="H141" s="2"/>
      <c r="I141" s="30"/>
      <c r="J141" s="2"/>
      <c r="K141" s="1"/>
      <c r="L141" s="1"/>
      <c r="M141" s="1"/>
      <c r="N141" s="1"/>
      <c r="O141" s="1"/>
    </row>
    <row r="142" spans="1:15" ht="15">
      <c r="A142" s="2"/>
      <c r="B142" s="2"/>
      <c r="C142" s="2"/>
      <c r="D142" s="8"/>
      <c r="E142" s="8"/>
      <c r="F142" s="8"/>
      <c r="G142" s="8"/>
      <c r="H142" s="2"/>
      <c r="I142" s="30"/>
      <c r="J142" s="2"/>
      <c r="K142" s="1"/>
      <c r="L142" s="1"/>
      <c r="M142" s="1"/>
      <c r="N142" s="1"/>
      <c r="O142" s="1"/>
    </row>
    <row r="143" spans="1:15" ht="15">
      <c r="A143" s="2"/>
      <c r="B143" s="2"/>
      <c r="C143" s="2"/>
      <c r="D143" s="8"/>
      <c r="E143" s="8"/>
      <c r="F143" s="8"/>
      <c r="G143" s="8"/>
      <c r="H143" s="2"/>
      <c r="I143" s="30"/>
      <c r="J143" s="2"/>
      <c r="K143" s="1"/>
      <c r="L143" s="1"/>
      <c r="M143" s="1"/>
      <c r="N143" s="1"/>
      <c r="O143" s="1"/>
    </row>
    <row r="144" spans="1:15" ht="15">
      <c r="A144" s="2"/>
      <c r="B144" s="2"/>
      <c r="C144" s="2"/>
      <c r="D144" s="8"/>
      <c r="E144" s="8"/>
      <c r="F144" s="8"/>
      <c r="G144" s="8"/>
      <c r="H144" s="2"/>
      <c r="I144" s="30"/>
      <c r="J144" s="2"/>
      <c r="K144" s="1"/>
      <c r="L144" s="1"/>
      <c r="M144" s="1"/>
      <c r="N144" s="1"/>
      <c r="O144" s="1"/>
    </row>
    <row r="145" spans="1:15" ht="15">
      <c r="A145" s="2"/>
      <c r="B145" s="2"/>
      <c r="C145" s="2"/>
      <c r="D145" s="8"/>
      <c r="E145" s="8"/>
      <c r="F145" s="8"/>
      <c r="G145" s="8"/>
      <c r="H145" s="2"/>
      <c r="I145" s="30"/>
      <c r="J145" s="2"/>
      <c r="K145" s="1"/>
      <c r="L145" s="1"/>
      <c r="M145" s="1"/>
      <c r="N145" s="1"/>
      <c r="O145" s="1"/>
    </row>
    <row r="146" spans="1:15" ht="15">
      <c r="A146" s="2"/>
      <c r="B146" s="2"/>
      <c r="C146" s="2"/>
      <c r="D146" s="8"/>
      <c r="E146" s="8"/>
      <c r="F146" s="8"/>
      <c r="G146" s="8"/>
      <c r="H146" s="2"/>
      <c r="I146" s="30"/>
      <c r="J146" s="2"/>
      <c r="K146" s="1"/>
      <c r="L146" s="1"/>
      <c r="M146" s="1"/>
      <c r="N146" s="1"/>
      <c r="O146" s="1"/>
    </row>
    <row r="147" spans="1:15" ht="15">
      <c r="A147" s="2"/>
      <c r="B147" s="2"/>
      <c r="C147" s="2"/>
      <c r="D147" s="8"/>
      <c r="E147" s="8"/>
      <c r="F147" s="8"/>
      <c r="G147" s="8"/>
      <c r="H147" s="2"/>
      <c r="I147" s="30"/>
      <c r="J147" s="2"/>
      <c r="K147" s="1"/>
      <c r="L147" s="1"/>
      <c r="M147" s="1"/>
      <c r="N147" s="1"/>
      <c r="O147" s="1"/>
    </row>
    <row r="148" spans="1:15" ht="15">
      <c r="A148" s="2"/>
      <c r="B148" s="2"/>
      <c r="C148" s="2"/>
      <c r="D148" s="8"/>
      <c r="E148" s="8"/>
      <c r="F148" s="8"/>
      <c r="G148" s="8"/>
      <c r="H148" s="2"/>
      <c r="I148" s="30"/>
      <c r="J148" s="2"/>
      <c r="K148" s="1"/>
      <c r="L148" s="1"/>
      <c r="M148" s="1"/>
      <c r="N148" s="1"/>
      <c r="O148" s="1"/>
    </row>
    <row r="149" spans="1:15" ht="15">
      <c r="A149" s="2"/>
      <c r="B149" s="2"/>
      <c r="C149" s="2"/>
      <c r="D149" s="8"/>
      <c r="E149" s="8"/>
      <c r="F149" s="8"/>
      <c r="G149" s="8"/>
      <c r="H149" s="2"/>
      <c r="I149" s="30"/>
      <c r="J149" s="2"/>
      <c r="K149" s="1"/>
      <c r="L149" s="1"/>
      <c r="M149" s="1"/>
      <c r="N149" s="1"/>
      <c r="O149" s="1"/>
    </row>
    <row r="150" spans="1:15" ht="15">
      <c r="A150" s="2"/>
      <c r="B150" s="2"/>
      <c r="C150" s="2"/>
      <c r="D150" s="8"/>
      <c r="E150" s="8"/>
      <c r="F150" s="8"/>
      <c r="G150" s="8"/>
      <c r="H150" s="2"/>
      <c r="I150" s="30"/>
      <c r="J150" s="2"/>
      <c r="K150" s="1"/>
      <c r="L150" s="1"/>
      <c r="M150" s="1"/>
      <c r="N150" s="1"/>
      <c r="O150" s="1"/>
    </row>
    <row r="151" spans="1:15" ht="15">
      <c r="A151" s="2"/>
      <c r="B151" s="2"/>
      <c r="C151" s="2"/>
      <c r="D151" s="8"/>
      <c r="E151" s="8"/>
      <c r="F151" s="8"/>
      <c r="G151" s="8"/>
      <c r="H151" s="2"/>
      <c r="I151" s="30"/>
      <c r="J151" s="2"/>
      <c r="K151" s="1"/>
      <c r="L151" s="1"/>
      <c r="M151" s="1"/>
      <c r="N151" s="1"/>
      <c r="O151" s="1"/>
    </row>
    <row r="152" spans="1:15" ht="15">
      <c r="A152" s="2"/>
      <c r="B152" s="2"/>
      <c r="C152" s="2"/>
      <c r="D152" s="8"/>
      <c r="E152" s="8"/>
      <c r="F152" s="8"/>
      <c r="G152" s="8"/>
      <c r="H152" s="2"/>
      <c r="I152" s="30"/>
      <c r="J152" s="2"/>
      <c r="K152" s="1"/>
      <c r="L152" s="1"/>
      <c r="M152" s="1"/>
      <c r="N152" s="1"/>
      <c r="O152" s="1"/>
    </row>
    <row r="153" spans="1:15" ht="15">
      <c r="A153" s="2"/>
      <c r="B153" s="2"/>
      <c r="C153" s="2"/>
      <c r="D153" s="8"/>
      <c r="E153" s="8"/>
      <c r="F153" s="8"/>
      <c r="G153" s="8"/>
      <c r="H153" s="2"/>
      <c r="I153" s="30"/>
      <c r="J153" s="2"/>
      <c r="K153" s="1"/>
      <c r="L153" s="1"/>
      <c r="M153" s="1"/>
      <c r="N153" s="1"/>
      <c r="O153" s="1"/>
    </row>
    <row r="154" spans="1:15" ht="15">
      <c r="A154" s="2"/>
      <c r="B154" s="2"/>
      <c r="C154" s="2"/>
      <c r="D154" s="8"/>
      <c r="E154" s="8"/>
      <c r="F154" s="8"/>
      <c r="G154" s="8"/>
      <c r="H154" s="2"/>
      <c r="I154" s="30"/>
      <c r="J154" s="2"/>
      <c r="K154" s="1"/>
      <c r="L154" s="1"/>
      <c r="M154" s="1"/>
      <c r="N154" s="1"/>
      <c r="O154" s="1"/>
    </row>
    <row r="155" spans="1:15" ht="15">
      <c r="A155" s="2"/>
      <c r="B155" s="2"/>
      <c r="C155" s="2"/>
      <c r="D155" s="8"/>
      <c r="E155" s="8"/>
      <c r="F155" s="8"/>
      <c r="G155" s="8"/>
      <c r="H155" s="2"/>
      <c r="I155" s="30"/>
      <c r="J155" s="2"/>
      <c r="K155" s="1"/>
      <c r="L155" s="1"/>
      <c r="M155" s="1"/>
      <c r="N155" s="1"/>
      <c r="O155" s="1"/>
    </row>
    <row r="156" spans="1:15" ht="15">
      <c r="A156" s="2"/>
      <c r="B156" s="2"/>
      <c r="C156" s="2"/>
      <c r="D156" s="8"/>
      <c r="E156" s="8"/>
      <c r="F156" s="8"/>
      <c r="G156" s="8"/>
      <c r="H156" s="2"/>
      <c r="I156" s="30"/>
      <c r="J156" s="2"/>
      <c r="K156" s="1"/>
      <c r="L156" s="1"/>
      <c r="M156" s="1"/>
      <c r="N156" s="1"/>
      <c r="O156" s="1"/>
    </row>
    <row r="157" spans="1:15" ht="15">
      <c r="A157" s="2"/>
      <c r="B157" s="2"/>
      <c r="C157" s="2"/>
      <c r="D157" s="8"/>
      <c r="E157" s="8"/>
      <c r="F157" s="8"/>
      <c r="G157" s="8"/>
      <c r="H157" s="2"/>
      <c r="I157" s="30"/>
      <c r="J157" s="2"/>
      <c r="K157" s="1"/>
      <c r="L157" s="1"/>
      <c r="M157" s="1"/>
      <c r="N157" s="1"/>
      <c r="O157" s="1"/>
    </row>
    <row r="158" spans="1:15" ht="15">
      <c r="A158" s="2"/>
      <c r="B158" s="2"/>
      <c r="C158" s="2"/>
      <c r="D158" s="8"/>
      <c r="E158" s="8"/>
      <c r="F158" s="8"/>
      <c r="G158" s="8"/>
      <c r="H158" s="2"/>
      <c r="I158" s="30"/>
      <c r="J158" s="2"/>
      <c r="K158" s="1"/>
      <c r="L158" s="1"/>
      <c r="M158" s="1"/>
      <c r="N158" s="1"/>
      <c r="O158" s="1"/>
    </row>
    <row r="159" spans="1:15" ht="15">
      <c r="A159" s="2"/>
      <c r="B159" s="2"/>
      <c r="C159" s="2"/>
      <c r="D159" s="8"/>
      <c r="E159" s="8"/>
      <c r="F159" s="8"/>
      <c r="G159" s="8"/>
      <c r="H159" s="2"/>
      <c r="I159" s="30"/>
      <c r="J159" s="2"/>
      <c r="K159" s="1"/>
      <c r="L159" s="1"/>
      <c r="M159" s="1"/>
      <c r="N159" s="1"/>
      <c r="O159" s="1"/>
    </row>
    <row r="160" spans="1:15" ht="15">
      <c r="A160" s="2"/>
      <c r="B160" s="2"/>
      <c r="C160" s="2"/>
      <c r="D160" s="8"/>
      <c r="E160" s="8"/>
      <c r="F160" s="8"/>
      <c r="G160" s="8"/>
      <c r="H160" s="2"/>
      <c r="I160" s="30"/>
      <c r="J160" s="2"/>
      <c r="K160" s="1"/>
      <c r="L160" s="1"/>
      <c r="M160" s="1"/>
      <c r="N160" s="1"/>
      <c r="O160" s="1"/>
    </row>
    <row r="161" spans="1:15" ht="15">
      <c r="A161" s="2"/>
      <c r="B161" s="2"/>
      <c r="C161" s="2"/>
      <c r="D161" s="8"/>
      <c r="E161" s="8"/>
      <c r="F161" s="8"/>
      <c r="G161" s="8"/>
      <c r="H161" s="2"/>
      <c r="I161" s="30"/>
      <c r="J161" s="2"/>
      <c r="K161" s="1"/>
      <c r="L161" s="1"/>
      <c r="M161" s="1"/>
      <c r="N161" s="1"/>
      <c r="O161" s="1"/>
    </row>
    <row r="162" spans="1:15" ht="15">
      <c r="A162" s="2"/>
      <c r="B162" s="2"/>
      <c r="C162" s="2"/>
      <c r="D162" s="8"/>
      <c r="E162" s="8"/>
      <c r="F162" s="8"/>
      <c r="G162" s="8"/>
      <c r="H162" s="2"/>
      <c r="I162" s="30"/>
      <c r="J162" s="2"/>
      <c r="K162" s="1"/>
      <c r="L162" s="1"/>
      <c r="M162" s="1"/>
      <c r="N162" s="1"/>
      <c r="O162" s="1"/>
    </row>
    <row r="163" spans="1:15" ht="15">
      <c r="A163" s="2"/>
      <c r="B163" s="2"/>
      <c r="C163" s="2"/>
      <c r="D163" s="8"/>
      <c r="E163" s="8"/>
      <c r="F163" s="8"/>
      <c r="G163" s="8"/>
      <c r="H163" s="2"/>
      <c r="I163" s="30"/>
      <c r="J163" s="2"/>
      <c r="K163" s="1"/>
      <c r="L163" s="1"/>
      <c r="M163" s="1"/>
      <c r="N163" s="1"/>
      <c r="O163" s="1"/>
    </row>
    <row r="164" spans="1:15" ht="15">
      <c r="A164" s="2"/>
      <c r="B164" s="2"/>
      <c r="C164" s="2"/>
      <c r="D164" s="8"/>
      <c r="E164" s="8"/>
      <c r="F164" s="8"/>
      <c r="G164" s="8"/>
      <c r="H164" s="2"/>
      <c r="I164" s="30"/>
      <c r="J164" s="2"/>
      <c r="K164" s="1"/>
      <c r="L164" s="1"/>
      <c r="M164" s="1"/>
      <c r="N164" s="1"/>
      <c r="O164" s="1"/>
    </row>
    <row r="165" spans="1:15" ht="15">
      <c r="A165" s="2"/>
      <c r="B165" s="2"/>
      <c r="C165" s="2"/>
      <c r="D165" s="8"/>
      <c r="E165" s="8"/>
      <c r="F165" s="8"/>
      <c r="G165" s="8"/>
      <c r="H165" s="2"/>
      <c r="I165" s="30"/>
      <c r="J165" s="2"/>
      <c r="K165" s="1"/>
      <c r="L165" s="1"/>
      <c r="M165" s="1"/>
      <c r="N165" s="1"/>
      <c r="O165" s="1"/>
    </row>
    <row r="166" spans="1:15" ht="15">
      <c r="A166" s="2"/>
      <c r="B166" s="2"/>
      <c r="C166" s="2"/>
      <c r="D166" s="8"/>
      <c r="E166" s="8"/>
      <c r="F166" s="8"/>
      <c r="G166" s="8"/>
      <c r="H166" s="2"/>
      <c r="I166" s="30"/>
      <c r="J166" s="2"/>
      <c r="K166" s="1"/>
      <c r="L166" s="1"/>
      <c r="M166" s="1"/>
      <c r="N166" s="1"/>
      <c r="O166" s="1"/>
    </row>
    <row r="167" spans="1:15" ht="15">
      <c r="A167" s="2"/>
      <c r="B167" s="2"/>
      <c r="C167" s="2"/>
      <c r="D167" s="8"/>
      <c r="E167" s="8"/>
      <c r="F167" s="8"/>
      <c r="G167" s="8"/>
      <c r="H167" s="2"/>
      <c r="I167" s="30"/>
      <c r="J167" s="2"/>
      <c r="K167" s="1"/>
      <c r="L167" s="1"/>
      <c r="M167" s="1"/>
      <c r="N167" s="1"/>
      <c r="O167" s="1"/>
    </row>
    <row r="168" spans="1:15" ht="15">
      <c r="A168" s="2"/>
      <c r="B168" s="2"/>
      <c r="C168" s="2"/>
      <c r="D168" s="8"/>
      <c r="E168" s="8"/>
      <c r="F168" s="8"/>
      <c r="G168" s="8"/>
      <c r="H168" s="2"/>
      <c r="I168" s="30"/>
      <c r="J168" s="2"/>
      <c r="K168" s="1"/>
      <c r="L168" s="1"/>
      <c r="M168" s="1"/>
      <c r="N168" s="1"/>
      <c r="O168" s="1"/>
    </row>
    <row r="169" spans="1:15" ht="15">
      <c r="A169" s="2"/>
      <c r="B169" s="2"/>
      <c r="C169" s="2"/>
      <c r="D169" s="8"/>
      <c r="E169" s="8"/>
      <c r="F169" s="8"/>
      <c r="G169" s="8"/>
      <c r="H169" s="2"/>
      <c r="I169" s="30"/>
      <c r="J169" s="2"/>
      <c r="K169" s="1"/>
      <c r="L169" s="1"/>
      <c r="M169" s="1"/>
      <c r="N169" s="1"/>
      <c r="O169" s="1"/>
    </row>
    <row r="170" spans="1:15" ht="15">
      <c r="A170" s="2"/>
      <c r="B170" s="2"/>
      <c r="C170" s="2"/>
      <c r="D170" s="8"/>
      <c r="E170" s="8"/>
      <c r="F170" s="8"/>
      <c r="G170" s="8"/>
      <c r="H170" s="2"/>
      <c r="I170" s="30"/>
      <c r="J170" s="2"/>
      <c r="K170" s="1"/>
      <c r="L170" s="1"/>
      <c r="M170" s="1"/>
      <c r="N170" s="1"/>
      <c r="O170" s="1"/>
    </row>
    <row r="171" spans="1:15" ht="15">
      <c r="A171" s="2"/>
      <c r="B171" s="2"/>
      <c r="C171" s="2"/>
      <c r="D171" s="8"/>
      <c r="E171" s="8"/>
      <c r="F171" s="8"/>
      <c r="G171" s="8"/>
      <c r="H171" s="2"/>
      <c r="I171" s="30"/>
      <c r="J171" s="2"/>
      <c r="K171" s="1"/>
      <c r="L171" s="1"/>
      <c r="M171" s="1"/>
      <c r="N171" s="1"/>
      <c r="O171" s="1"/>
    </row>
    <row r="172" spans="1:15" ht="15">
      <c r="A172" s="2"/>
      <c r="B172" s="2"/>
      <c r="C172" s="2"/>
      <c r="D172" s="8"/>
      <c r="E172" s="8"/>
      <c r="F172" s="8"/>
      <c r="G172" s="8"/>
      <c r="H172" s="2"/>
      <c r="I172" s="30"/>
      <c r="J172" s="2"/>
      <c r="K172" s="1"/>
      <c r="L172" s="1"/>
      <c r="M172" s="1"/>
      <c r="N172" s="1"/>
      <c r="O172" s="1"/>
    </row>
    <row r="173" spans="1:15" ht="15">
      <c r="A173" s="2"/>
      <c r="B173" s="2"/>
      <c r="C173" s="2"/>
      <c r="D173" s="8"/>
      <c r="E173" s="8"/>
      <c r="F173" s="8"/>
      <c r="G173" s="8"/>
      <c r="H173" s="2"/>
      <c r="I173" s="30"/>
      <c r="J173" s="2"/>
      <c r="K173" s="1"/>
      <c r="L173" s="1"/>
      <c r="M173" s="1"/>
      <c r="N173" s="1"/>
      <c r="O173" s="1"/>
    </row>
    <row r="174" spans="1:15" ht="15">
      <c r="A174" s="2"/>
      <c r="B174" s="2"/>
      <c r="C174" s="2"/>
      <c r="D174" s="8"/>
      <c r="E174" s="8"/>
      <c r="F174" s="8"/>
      <c r="G174" s="8"/>
      <c r="H174" s="2"/>
      <c r="I174" s="30"/>
      <c r="J174" s="2"/>
      <c r="K174" s="1"/>
      <c r="L174" s="1"/>
      <c r="M174" s="1"/>
      <c r="N174" s="1"/>
      <c r="O174" s="1"/>
    </row>
    <row r="175" spans="1:15" ht="15">
      <c r="A175" s="2"/>
      <c r="B175" s="2"/>
      <c r="C175" s="2"/>
      <c r="D175" s="8"/>
      <c r="E175" s="8"/>
      <c r="F175" s="8"/>
      <c r="G175" s="8"/>
      <c r="H175" s="2"/>
      <c r="I175" s="30"/>
      <c r="J175" s="2"/>
      <c r="K175" s="1"/>
      <c r="L175" s="1"/>
      <c r="M175" s="1"/>
      <c r="N175" s="1"/>
      <c r="O175" s="1"/>
    </row>
    <row r="176" spans="1:15" ht="15">
      <c r="A176" s="2"/>
      <c r="B176" s="2"/>
      <c r="C176" s="2"/>
      <c r="D176" s="8"/>
      <c r="E176" s="8"/>
      <c r="F176" s="8"/>
      <c r="G176" s="8"/>
      <c r="H176" s="2"/>
      <c r="I176" s="30"/>
      <c r="J176" s="2"/>
      <c r="K176" s="1"/>
      <c r="L176" s="1"/>
      <c r="M176" s="1"/>
      <c r="N176" s="1"/>
      <c r="O176" s="1"/>
    </row>
    <row r="177" spans="1:15" ht="15">
      <c r="A177" s="2"/>
      <c r="B177" s="2"/>
      <c r="C177" s="2"/>
      <c r="D177" s="8"/>
      <c r="E177" s="8"/>
      <c r="F177" s="8"/>
      <c r="G177" s="8"/>
      <c r="H177" s="2"/>
      <c r="I177" s="30"/>
      <c r="J177" s="2"/>
      <c r="K177" s="1"/>
      <c r="L177" s="1"/>
      <c r="M177" s="1"/>
      <c r="N177" s="1"/>
      <c r="O177" s="1"/>
    </row>
    <row r="178" spans="1:15" ht="15">
      <c r="A178" s="2"/>
      <c r="B178" s="2"/>
      <c r="C178" s="2"/>
      <c r="D178" s="8"/>
      <c r="E178" s="8"/>
      <c r="F178" s="8"/>
      <c r="G178" s="8"/>
      <c r="H178" s="2"/>
      <c r="I178" s="30"/>
      <c r="J178" s="2"/>
      <c r="K178" s="1"/>
      <c r="L178" s="1"/>
      <c r="M178" s="1"/>
      <c r="N178" s="1"/>
      <c r="O178" s="1"/>
    </row>
    <row r="179" spans="1:15" ht="15">
      <c r="A179" s="2"/>
      <c r="B179" s="2"/>
      <c r="C179" s="2"/>
      <c r="D179" s="8"/>
      <c r="E179" s="8"/>
      <c r="F179" s="8"/>
      <c r="G179" s="8"/>
      <c r="H179" s="2"/>
      <c r="I179" s="30"/>
      <c r="J179" s="2"/>
      <c r="K179" s="1"/>
      <c r="L179" s="1"/>
      <c r="M179" s="1"/>
      <c r="N179" s="1"/>
      <c r="O179" s="1"/>
    </row>
    <row r="180" spans="1:15" ht="15">
      <c r="A180" s="2"/>
      <c r="B180" s="2"/>
      <c r="C180" s="2"/>
      <c r="D180" s="8"/>
      <c r="E180" s="8"/>
      <c r="F180" s="8"/>
      <c r="G180" s="8"/>
      <c r="H180" s="2"/>
      <c r="I180" s="30"/>
      <c r="J180" s="2"/>
      <c r="K180" s="1"/>
      <c r="L180" s="1"/>
      <c r="M180" s="1"/>
      <c r="N180" s="1"/>
      <c r="O180" s="1"/>
    </row>
    <row r="181" spans="1:15" ht="15">
      <c r="A181" s="2"/>
      <c r="B181" s="2"/>
      <c r="C181" s="2"/>
      <c r="D181" s="8"/>
      <c r="E181" s="8"/>
      <c r="F181" s="8"/>
      <c r="G181" s="8"/>
      <c r="H181" s="2"/>
      <c r="I181" s="30"/>
      <c r="J181" s="2"/>
      <c r="K181" s="1"/>
      <c r="L181" s="1"/>
      <c r="M181" s="1"/>
      <c r="N181" s="1"/>
      <c r="O181" s="1"/>
    </row>
    <row r="182" spans="1:15" ht="15">
      <c r="A182" s="2"/>
      <c r="B182" s="2"/>
      <c r="C182" s="2"/>
      <c r="D182" s="8"/>
      <c r="E182" s="8"/>
      <c r="F182" s="8"/>
      <c r="G182" s="8"/>
      <c r="H182" s="2"/>
      <c r="I182" s="30"/>
      <c r="J182" s="2"/>
      <c r="K182" s="1"/>
      <c r="L182" s="1"/>
      <c r="M182" s="1"/>
      <c r="N182" s="1"/>
      <c r="O182" s="1"/>
    </row>
    <row r="183" spans="1:15" ht="15">
      <c r="A183" s="2"/>
      <c r="B183" s="2"/>
      <c r="C183" s="2"/>
      <c r="D183" s="8"/>
      <c r="E183" s="8"/>
      <c r="F183" s="8"/>
      <c r="G183" s="8"/>
      <c r="H183" s="2"/>
      <c r="I183" s="2"/>
      <c r="J183" s="2"/>
      <c r="K183" s="1"/>
      <c r="L183" s="1"/>
      <c r="M183" s="1"/>
      <c r="N183" s="1"/>
      <c r="O183" s="1"/>
    </row>
    <row r="184" spans="1:15" ht="15">
      <c r="A184" s="2"/>
      <c r="B184" s="2"/>
      <c r="C184" s="2"/>
      <c r="D184" s="8"/>
      <c r="E184" s="8"/>
      <c r="F184" s="8"/>
      <c r="G184" s="8"/>
      <c r="H184" s="2"/>
      <c r="I184" s="2"/>
      <c r="J184" s="2"/>
      <c r="K184" s="1"/>
      <c r="L184" s="1"/>
      <c r="M184" s="1"/>
      <c r="N184" s="1"/>
      <c r="O184" s="1"/>
    </row>
    <row r="185" spans="1:15" ht="15">
      <c r="A185" s="2"/>
      <c r="B185" s="2"/>
      <c r="C185" s="2"/>
      <c r="D185" s="8"/>
      <c r="E185" s="8"/>
      <c r="F185" s="8"/>
      <c r="G185" s="8"/>
      <c r="H185" s="2"/>
      <c r="I185" s="2"/>
      <c r="J185" s="2"/>
      <c r="K185" s="1"/>
      <c r="L185" s="1"/>
      <c r="M185" s="1"/>
      <c r="N185" s="1"/>
      <c r="O185" s="1"/>
    </row>
    <row r="186" spans="1:15" ht="15">
      <c r="A186" s="2"/>
      <c r="B186" s="2"/>
      <c r="C186" s="2"/>
      <c r="D186" s="8"/>
      <c r="E186" s="8"/>
      <c r="F186" s="8"/>
      <c r="G186" s="8"/>
      <c r="H186" s="2"/>
      <c r="I186" s="2"/>
      <c r="J186" s="2"/>
      <c r="K186" s="1"/>
      <c r="L186" s="1"/>
      <c r="M186" s="1"/>
      <c r="N186" s="1"/>
      <c r="O186" s="1"/>
    </row>
    <row r="187" spans="1:15" ht="15">
      <c r="A187" s="2"/>
      <c r="B187" s="2"/>
      <c r="C187" s="2"/>
      <c r="D187" s="8"/>
      <c r="E187" s="8"/>
      <c r="F187" s="8"/>
      <c r="G187" s="8"/>
      <c r="H187" s="2"/>
      <c r="I187" s="2"/>
      <c r="J187" s="2"/>
      <c r="K187" s="1"/>
      <c r="L187" s="1"/>
      <c r="M187" s="1"/>
      <c r="N187" s="1"/>
      <c r="O187" s="1"/>
    </row>
    <row r="188" spans="1:15" ht="15">
      <c r="A188" s="2"/>
      <c r="B188" s="2"/>
      <c r="C188" s="2"/>
      <c r="D188" s="8"/>
      <c r="E188" s="8"/>
      <c r="F188" s="8"/>
      <c r="G188" s="8"/>
      <c r="H188" s="2"/>
      <c r="I188" s="2"/>
      <c r="J188" s="2"/>
      <c r="K188" s="1"/>
      <c r="L188" s="1"/>
      <c r="M188" s="1"/>
      <c r="N188" s="1"/>
      <c r="O188" s="1"/>
    </row>
    <row r="189" spans="1:15" ht="15">
      <c r="A189" s="2"/>
      <c r="B189" s="2"/>
      <c r="C189" s="2"/>
      <c r="D189" s="8"/>
      <c r="E189" s="8"/>
      <c r="F189" s="8"/>
      <c r="G189" s="8"/>
      <c r="H189" s="2"/>
      <c r="I189" s="2"/>
      <c r="J189" s="2"/>
      <c r="K189" s="1"/>
      <c r="L189" s="1"/>
      <c r="M189" s="1"/>
      <c r="N189" s="1"/>
      <c r="O189" s="1"/>
    </row>
    <row r="190" spans="1:15" ht="15">
      <c r="A190" s="2"/>
      <c r="B190" s="2"/>
      <c r="C190" s="2"/>
      <c r="D190" s="8"/>
      <c r="E190" s="8"/>
      <c r="F190" s="8"/>
      <c r="G190" s="8"/>
      <c r="H190" s="2"/>
      <c r="I190" s="2"/>
      <c r="J190" s="2"/>
      <c r="K190" s="1"/>
      <c r="L190" s="1"/>
      <c r="M190" s="1"/>
      <c r="N190" s="1"/>
      <c r="O190" s="1"/>
    </row>
    <row r="191" spans="1:15" ht="15">
      <c r="A191" s="2"/>
      <c r="B191" s="2"/>
      <c r="C191" s="2"/>
      <c r="D191" s="8"/>
      <c r="E191" s="8"/>
      <c r="F191" s="8"/>
      <c r="G191" s="8"/>
      <c r="H191" s="2"/>
      <c r="I191" s="2"/>
      <c r="J191" s="2"/>
      <c r="K191" s="1"/>
      <c r="L191" s="1"/>
      <c r="M191" s="1"/>
      <c r="N191" s="1"/>
      <c r="O191" s="1"/>
    </row>
    <row r="192" spans="1:15" ht="15">
      <c r="A192" s="2"/>
      <c r="B192" s="2"/>
      <c r="C192" s="2"/>
      <c r="D192" s="8"/>
      <c r="E192" s="8"/>
      <c r="F192" s="8"/>
      <c r="G192" s="8"/>
      <c r="H192" s="2"/>
      <c r="I192" s="2"/>
      <c r="J192" s="2"/>
      <c r="K192" s="1"/>
      <c r="L192" s="1"/>
      <c r="M192" s="1"/>
      <c r="N192" s="1"/>
      <c r="O192" s="1"/>
    </row>
    <row r="193" spans="1:15" ht="15">
      <c r="A193" s="2"/>
      <c r="B193" s="2"/>
      <c r="C193" s="2"/>
      <c r="D193" s="8"/>
      <c r="E193" s="8"/>
      <c r="F193" s="8"/>
      <c r="G193" s="8"/>
      <c r="H193" s="2"/>
      <c r="I193" s="2"/>
      <c r="J193" s="2"/>
      <c r="K193" s="1"/>
      <c r="L193" s="1"/>
      <c r="M193" s="1"/>
      <c r="N193" s="1"/>
      <c r="O193" s="1"/>
    </row>
    <row r="194" spans="1:15" ht="15">
      <c r="A194" s="2"/>
      <c r="B194" s="2"/>
      <c r="C194" s="2"/>
      <c r="D194" s="8"/>
      <c r="E194" s="8"/>
      <c r="F194" s="8"/>
      <c r="G194" s="8"/>
      <c r="H194" s="2"/>
      <c r="I194" s="2"/>
      <c r="J194" s="2"/>
      <c r="K194" s="1"/>
      <c r="L194" s="1"/>
      <c r="M194" s="1"/>
      <c r="N194" s="1"/>
      <c r="O194" s="1"/>
    </row>
    <row r="195" spans="1:15" ht="15">
      <c r="A195" s="2"/>
      <c r="B195" s="2"/>
      <c r="C195" s="2"/>
      <c r="D195" s="8"/>
      <c r="E195" s="8"/>
      <c r="F195" s="8"/>
      <c r="G195" s="8"/>
      <c r="H195" s="2"/>
      <c r="I195" s="2"/>
      <c r="J195" s="2"/>
      <c r="K195" s="1"/>
      <c r="L195" s="1"/>
      <c r="M195" s="1"/>
      <c r="N195" s="1"/>
      <c r="O195" s="1"/>
    </row>
    <row r="196" spans="1:15" ht="15">
      <c r="A196" s="2"/>
      <c r="B196" s="2"/>
      <c r="C196" s="2"/>
      <c r="D196" s="8"/>
      <c r="E196" s="8"/>
      <c r="F196" s="8"/>
      <c r="G196" s="8"/>
      <c r="H196" s="2"/>
      <c r="I196" s="2"/>
      <c r="J196" s="2"/>
      <c r="K196" s="1"/>
      <c r="L196" s="1"/>
      <c r="M196" s="1"/>
      <c r="N196" s="1"/>
      <c r="O196" s="1"/>
    </row>
    <row r="197" spans="1:15" ht="15">
      <c r="A197" s="2"/>
      <c r="B197" s="2"/>
      <c r="C197" s="2"/>
      <c r="D197" s="8"/>
      <c r="E197" s="8"/>
      <c r="F197" s="8"/>
      <c r="G197" s="8"/>
      <c r="H197" s="2"/>
      <c r="I197" s="2"/>
      <c r="J197" s="2"/>
      <c r="K197" s="1"/>
      <c r="L197" s="1"/>
      <c r="M197" s="1"/>
      <c r="N197" s="1"/>
      <c r="O197" s="1"/>
    </row>
    <row r="198" spans="1:15" ht="15">
      <c r="A198" s="2"/>
      <c r="B198" s="2"/>
      <c r="C198" s="2"/>
      <c r="D198" s="8"/>
      <c r="E198" s="8"/>
      <c r="F198" s="8"/>
      <c r="G198" s="8"/>
      <c r="H198" s="2"/>
      <c r="I198" s="2"/>
      <c r="J198" s="2"/>
      <c r="K198" s="1"/>
      <c r="L198" s="1"/>
      <c r="M198" s="1"/>
      <c r="N198" s="1"/>
      <c r="O198" s="1"/>
    </row>
    <row r="199" spans="1:15" ht="15">
      <c r="A199" s="2"/>
      <c r="B199" s="2"/>
      <c r="C199" s="2"/>
      <c r="D199" s="8"/>
      <c r="E199" s="8"/>
      <c r="F199" s="8"/>
      <c r="G199" s="8"/>
      <c r="H199" s="2"/>
      <c r="I199" s="2"/>
      <c r="J199" s="2"/>
      <c r="K199" s="1"/>
      <c r="L199" s="1"/>
      <c r="M199" s="1"/>
      <c r="N199" s="1"/>
      <c r="O199" s="1"/>
    </row>
    <row r="200" spans="1:15" ht="15">
      <c r="A200" s="2"/>
      <c r="B200" s="2"/>
      <c r="C200" s="2"/>
      <c r="D200" s="8"/>
      <c r="E200" s="8"/>
      <c r="F200" s="8"/>
      <c r="G200" s="8"/>
      <c r="H200" s="2"/>
      <c r="I200" s="2"/>
      <c r="J200" s="2"/>
      <c r="K200" s="1"/>
      <c r="L200" s="1"/>
      <c r="M200" s="1"/>
      <c r="N200" s="1"/>
      <c r="O200" s="1"/>
    </row>
    <row r="201" spans="1:15" ht="15">
      <c r="A201" s="2"/>
      <c r="B201" s="2"/>
      <c r="C201" s="2"/>
      <c r="D201" s="8"/>
      <c r="E201" s="8"/>
      <c r="F201" s="8"/>
      <c r="G201" s="8"/>
      <c r="H201" s="2"/>
      <c r="I201" s="2"/>
      <c r="J201" s="2"/>
      <c r="K201" s="1"/>
      <c r="L201" s="1"/>
      <c r="M201" s="1"/>
      <c r="N201" s="1"/>
      <c r="O201" s="1"/>
    </row>
    <row r="202" spans="1:15" ht="15">
      <c r="A202" s="2"/>
      <c r="B202" s="2"/>
      <c r="C202" s="2"/>
      <c r="D202" s="8"/>
      <c r="E202" s="8"/>
      <c r="F202" s="8"/>
      <c r="G202" s="8"/>
      <c r="H202" s="2"/>
      <c r="I202" s="2"/>
      <c r="J202" s="2"/>
      <c r="K202" s="1"/>
      <c r="L202" s="1"/>
      <c r="M202" s="1"/>
      <c r="N202" s="1"/>
      <c r="O202" s="1"/>
    </row>
    <row r="203" spans="1:15" ht="15">
      <c r="A203" s="2"/>
      <c r="B203" s="2"/>
      <c r="C203" s="2"/>
      <c r="D203" s="8"/>
      <c r="E203" s="8"/>
      <c r="F203" s="8"/>
      <c r="G203" s="8"/>
      <c r="H203" s="2"/>
      <c r="I203" s="2"/>
      <c r="J203" s="2"/>
      <c r="K203" s="1"/>
      <c r="L203" s="1"/>
      <c r="M203" s="1"/>
      <c r="N203" s="1"/>
      <c r="O203" s="1"/>
    </row>
    <row r="204" spans="1:15" ht="15">
      <c r="A204" s="2"/>
      <c r="B204" s="2"/>
      <c r="C204" s="2"/>
      <c r="D204" s="8"/>
      <c r="E204" s="8"/>
      <c r="F204" s="8"/>
      <c r="G204" s="8"/>
      <c r="H204" s="2"/>
      <c r="I204" s="2"/>
      <c r="J204" s="2"/>
      <c r="K204" s="1"/>
      <c r="L204" s="1"/>
      <c r="M204" s="1"/>
      <c r="N204" s="1"/>
      <c r="O204" s="1"/>
    </row>
    <row r="205" spans="1:15" ht="15">
      <c r="A205" s="2"/>
      <c r="B205" s="2"/>
      <c r="C205" s="2"/>
      <c r="D205" s="8"/>
      <c r="E205" s="8"/>
      <c r="F205" s="8"/>
      <c r="G205" s="8"/>
      <c r="H205" s="2"/>
      <c r="I205" s="2"/>
      <c r="J205" s="2"/>
      <c r="K205" s="1"/>
      <c r="L205" s="1"/>
      <c r="M205" s="1"/>
      <c r="N205" s="1"/>
      <c r="O205" s="1"/>
    </row>
    <row r="206" spans="1:15" ht="15">
      <c r="A206" s="2"/>
      <c r="B206" s="2"/>
      <c r="C206" s="2"/>
      <c r="D206" s="8"/>
      <c r="E206" s="8"/>
      <c r="F206" s="8"/>
      <c r="G206" s="8"/>
      <c r="H206" s="2"/>
      <c r="I206" s="2"/>
      <c r="J206" s="2"/>
      <c r="K206" s="1"/>
      <c r="L206" s="1"/>
      <c r="M206" s="1"/>
      <c r="N206" s="1"/>
      <c r="O206" s="1"/>
    </row>
    <row r="207" spans="1:15" ht="15">
      <c r="A207" s="2"/>
      <c r="B207" s="2"/>
      <c r="C207" s="2"/>
      <c r="D207" s="8"/>
      <c r="E207" s="8"/>
      <c r="F207" s="8"/>
      <c r="G207" s="8"/>
      <c r="H207" s="2"/>
      <c r="I207" s="2"/>
      <c r="J207" s="2"/>
      <c r="K207" s="1"/>
      <c r="L207" s="1"/>
      <c r="M207" s="1"/>
      <c r="N207" s="1"/>
      <c r="O207" s="1"/>
    </row>
    <row r="208" spans="1:15" ht="15">
      <c r="A208" s="2"/>
      <c r="B208" s="2"/>
      <c r="C208" s="2"/>
      <c r="D208" s="8"/>
      <c r="E208" s="8"/>
      <c r="F208" s="8"/>
      <c r="G208" s="8"/>
      <c r="H208" s="2"/>
      <c r="I208" s="2"/>
      <c r="J208" s="2"/>
      <c r="K208" s="1"/>
      <c r="L208" s="1"/>
      <c r="M208" s="1"/>
      <c r="N208" s="1"/>
      <c r="O208" s="1"/>
    </row>
    <row r="209" spans="1:15" ht="15">
      <c r="A209" s="2"/>
      <c r="B209" s="2"/>
      <c r="C209" s="2"/>
      <c r="D209" s="8"/>
      <c r="E209" s="8"/>
      <c r="F209" s="8"/>
      <c r="G209" s="8"/>
      <c r="H209" s="2"/>
      <c r="I209" s="2"/>
      <c r="J209" s="2"/>
      <c r="K209" s="1"/>
      <c r="L209" s="1"/>
      <c r="M209" s="1"/>
      <c r="N209" s="1"/>
      <c r="O209" s="1"/>
    </row>
    <row r="210" spans="1:15" ht="15">
      <c r="A210" s="2"/>
      <c r="B210" s="2"/>
      <c r="C210" s="2"/>
      <c r="D210" s="8"/>
      <c r="E210" s="8"/>
      <c r="F210" s="8"/>
      <c r="G210" s="8"/>
      <c r="H210" s="2"/>
      <c r="I210" s="2"/>
      <c r="J210" s="2"/>
      <c r="K210" s="1"/>
      <c r="L210" s="1"/>
      <c r="M210" s="1"/>
      <c r="N210" s="1"/>
      <c r="O210" s="1"/>
    </row>
    <row r="211" spans="1:15" ht="15">
      <c r="A211" s="2"/>
      <c r="B211" s="2"/>
      <c r="C211" s="2"/>
      <c r="D211" s="8"/>
      <c r="E211" s="8"/>
      <c r="F211" s="8"/>
      <c r="G211" s="8"/>
      <c r="H211" s="2"/>
      <c r="I211" s="2"/>
      <c r="J211" s="2"/>
      <c r="K211" s="1"/>
      <c r="L211" s="1"/>
      <c r="M211" s="1"/>
      <c r="N211" s="1"/>
      <c r="O211" s="1"/>
    </row>
    <row r="212" spans="1:15" ht="15">
      <c r="A212" s="2"/>
      <c r="B212" s="2"/>
      <c r="C212" s="2"/>
      <c r="D212" s="8"/>
      <c r="E212" s="8"/>
      <c r="F212" s="8"/>
      <c r="G212" s="8"/>
      <c r="H212" s="2"/>
      <c r="I212" s="2"/>
      <c r="J212" s="2"/>
      <c r="K212" s="1"/>
      <c r="L212" s="1"/>
      <c r="M212" s="1"/>
      <c r="N212" s="1"/>
      <c r="O212" s="1"/>
    </row>
    <row r="213" spans="1:15" ht="15">
      <c r="A213" s="2"/>
      <c r="B213" s="2"/>
      <c r="C213" s="2"/>
      <c r="D213" s="8"/>
      <c r="E213" s="8"/>
      <c r="F213" s="8"/>
      <c r="G213" s="8"/>
      <c r="H213" s="2"/>
      <c r="I213" s="2"/>
      <c r="J213" s="2"/>
      <c r="K213" s="1"/>
      <c r="L213" s="1"/>
      <c r="M213" s="1"/>
      <c r="N213" s="1"/>
      <c r="O213" s="1"/>
    </row>
    <row r="214" spans="1:15" ht="15">
      <c r="A214" s="2"/>
      <c r="B214" s="2"/>
      <c r="C214" s="2"/>
      <c r="D214" s="8"/>
      <c r="E214" s="8"/>
      <c r="F214" s="8"/>
      <c r="G214" s="8"/>
      <c r="H214" s="2"/>
      <c r="I214" s="2"/>
      <c r="J214" s="2"/>
      <c r="K214" s="1"/>
      <c r="L214" s="1"/>
      <c r="M214" s="1"/>
      <c r="N214" s="1"/>
      <c r="O214" s="1"/>
    </row>
    <row r="215" spans="1:15" ht="15">
      <c r="A215" s="2"/>
      <c r="B215" s="2"/>
      <c r="C215" s="2"/>
      <c r="D215" s="8"/>
      <c r="E215" s="8"/>
      <c r="F215" s="8"/>
      <c r="G215" s="8"/>
      <c r="H215" s="2"/>
      <c r="I215" s="2"/>
      <c r="J215" s="2"/>
      <c r="K215" s="1"/>
      <c r="L215" s="1"/>
      <c r="M215" s="1"/>
      <c r="N215" s="1"/>
      <c r="O215" s="1"/>
    </row>
    <row r="216" spans="1:15" ht="15">
      <c r="A216" s="2"/>
      <c r="B216" s="2"/>
      <c r="C216" s="2"/>
      <c r="D216" s="8"/>
      <c r="E216" s="8"/>
      <c r="F216" s="8"/>
      <c r="G216" s="8"/>
      <c r="H216" s="2"/>
      <c r="I216" s="2"/>
      <c r="J216" s="2"/>
      <c r="K216" s="1"/>
      <c r="L216" s="1"/>
      <c r="M216" s="1"/>
      <c r="N216" s="1"/>
      <c r="O216" s="1"/>
    </row>
    <row r="217" spans="1:15" ht="15">
      <c r="A217" s="2"/>
      <c r="B217" s="2"/>
      <c r="C217" s="2"/>
      <c r="D217" s="8"/>
      <c r="E217" s="8"/>
      <c r="F217" s="8"/>
      <c r="G217" s="8"/>
      <c r="H217" s="2"/>
      <c r="I217" s="2"/>
      <c r="J217" s="2"/>
      <c r="K217" s="1"/>
      <c r="L217" s="1"/>
      <c r="M217" s="1"/>
      <c r="N217" s="1"/>
      <c r="O217" s="1"/>
    </row>
    <row r="218" spans="1:15" ht="15">
      <c r="A218" s="2"/>
      <c r="B218" s="2"/>
      <c r="C218" s="2"/>
      <c r="D218" s="8"/>
      <c r="E218" s="8"/>
      <c r="F218" s="8"/>
      <c r="G218" s="8"/>
      <c r="H218" s="2"/>
      <c r="I218" s="2"/>
      <c r="J218" s="2"/>
      <c r="K218" s="1"/>
      <c r="L218" s="1"/>
      <c r="M218" s="1"/>
      <c r="N218" s="1"/>
      <c r="O218" s="1"/>
    </row>
    <row r="219" spans="1:15" ht="15">
      <c r="A219" s="2"/>
      <c r="B219" s="2"/>
      <c r="C219" s="2"/>
      <c r="D219" s="8"/>
      <c r="E219" s="8"/>
      <c r="F219" s="8"/>
      <c r="G219" s="8"/>
      <c r="H219" s="2"/>
      <c r="I219" s="2"/>
      <c r="J219" s="2"/>
      <c r="K219" s="1"/>
      <c r="L219" s="1"/>
      <c r="M219" s="1"/>
      <c r="N219" s="1"/>
      <c r="O219" s="1"/>
    </row>
    <row r="220" spans="1:15" ht="15">
      <c r="A220" s="2"/>
      <c r="B220" s="2"/>
      <c r="C220" s="2"/>
      <c r="D220" s="8"/>
      <c r="E220" s="8"/>
      <c r="F220" s="8"/>
      <c r="G220" s="8"/>
      <c r="H220" s="2"/>
      <c r="I220" s="2"/>
      <c r="J220" s="2"/>
      <c r="K220" s="1"/>
      <c r="L220" s="1"/>
      <c r="M220" s="1"/>
      <c r="N220" s="1"/>
      <c r="O220" s="1"/>
    </row>
    <row r="221" spans="1:15" ht="15">
      <c r="A221" s="2"/>
      <c r="B221" s="2"/>
      <c r="C221" s="2"/>
      <c r="D221" s="8"/>
      <c r="E221" s="8"/>
      <c r="F221" s="8"/>
      <c r="G221" s="8"/>
      <c r="H221" s="2"/>
      <c r="I221" s="2"/>
      <c r="J221" s="2"/>
      <c r="K221" s="1"/>
      <c r="L221" s="1"/>
      <c r="M221" s="1"/>
      <c r="N221" s="1"/>
      <c r="O221" s="1"/>
    </row>
    <row r="222" spans="1:15" ht="15">
      <c r="A222" s="2"/>
      <c r="B222" s="2"/>
      <c r="C222" s="2"/>
      <c r="D222" s="8"/>
      <c r="E222" s="8"/>
      <c r="F222" s="8"/>
      <c r="G222" s="8"/>
      <c r="H222" s="2"/>
      <c r="I222" s="2"/>
      <c r="J222" s="2"/>
      <c r="K222" s="1"/>
      <c r="L222" s="1"/>
      <c r="M222" s="1"/>
      <c r="N222" s="1"/>
      <c r="O222" s="1"/>
    </row>
    <row r="223" spans="1:15" ht="15">
      <c r="A223" s="2"/>
      <c r="B223" s="2"/>
      <c r="C223" s="2"/>
      <c r="D223" s="8"/>
      <c r="E223" s="8"/>
      <c r="F223" s="8"/>
      <c r="G223" s="8"/>
      <c r="H223" s="2"/>
      <c r="I223" s="2"/>
      <c r="J223" s="2"/>
      <c r="K223" s="1"/>
      <c r="L223" s="1"/>
      <c r="M223" s="1"/>
      <c r="N223" s="1"/>
      <c r="O223" s="1"/>
    </row>
    <row r="224" spans="1:15" ht="15">
      <c r="A224" s="2"/>
      <c r="B224" s="2"/>
      <c r="C224" s="2"/>
      <c r="D224" s="8"/>
      <c r="E224" s="8"/>
      <c r="F224" s="8"/>
      <c r="G224" s="8"/>
      <c r="H224" s="2"/>
      <c r="I224" s="2"/>
      <c r="J224" s="2"/>
      <c r="K224" s="1"/>
      <c r="L224" s="1"/>
      <c r="M224" s="1"/>
      <c r="N224" s="1"/>
      <c r="O224" s="1"/>
    </row>
    <row r="225" spans="1:15" ht="15">
      <c r="A225" s="2"/>
      <c r="B225" s="2"/>
      <c r="C225" s="2"/>
      <c r="D225" s="8"/>
      <c r="E225" s="8"/>
      <c r="F225" s="8"/>
      <c r="G225" s="8"/>
      <c r="H225" s="2"/>
      <c r="I225" s="2"/>
      <c r="J225" s="2"/>
      <c r="K225" s="1"/>
      <c r="L225" s="1"/>
      <c r="M225" s="1"/>
      <c r="N225" s="1"/>
      <c r="O225" s="1"/>
    </row>
    <row r="226" spans="1:15" ht="15">
      <c r="A226" s="2"/>
      <c r="B226" s="2"/>
      <c r="C226" s="2"/>
      <c r="D226" s="8"/>
      <c r="E226" s="8"/>
      <c r="F226" s="8"/>
      <c r="G226" s="8"/>
      <c r="H226" s="2"/>
      <c r="I226" s="2"/>
      <c r="J226" s="2"/>
      <c r="K226" s="1"/>
      <c r="L226" s="1"/>
      <c r="M226" s="1"/>
      <c r="N226" s="1"/>
      <c r="O226" s="1"/>
    </row>
    <row r="227" spans="1:15" ht="15">
      <c r="A227" s="2"/>
      <c r="B227" s="2"/>
      <c r="C227" s="2"/>
      <c r="D227" s="8"/>
      <c r="E227" s="8"/>
      <c r="F227" s="8"/>
      <c r="G227" s="8"/>
      <c r="H227" s="2"/>
      <c r="I227" s="2"/>
      <c r="J227" s="2"/>
      <c r="K227" s="1"/>
      <c r="L227" s="1"/>
      <c r="M227" s="1"/>
      <c r="N227" s="1"/>
      <c r="O227" s="1"/>
    </row>
    <row r="228" spans="1:15" ht="15">
      <c r="A228" s="2"/>
      <c r="B228" s="2"/>
      <c r="C228" s="2"/>
      <c r="D228" s="8"/>
      <c r="E228" s="8"/>
      <c r="F228" s="8"/>
      <c r="G228" s="8"/>
      <c r="H228" s="2"/>
      <c r="I228" s="2"/>
      <c r="J228" s="2"/>
      <c r="K228" s="1"/>
      <c r="L228" s="1"/>
      <c r="M228" s="1"/>
      <c r="N228" s="1"/>
      <c r="O228" s="1"/>
    </row>
    <row r="229" spans="1:15" ht="15">
      <c r="A229" s="2"/>
      <c r="B229" s="2"/>
      <c r="C229" s="2"/>
      <c r="D229" s="8"/>
      <c r="E229" s="8"/>
      <c r="F229" s="8"/>
      <c r="G229" s="8"/>
      <c r="H229" s="2"/>
      <c r="I229" s="2"/>
      <c r="J229" s="2"/>
      <c r="K229" s="1"/>
      <c r="L229" s="1"/>
      <c r="M229" s="1"/>
      <c r="N229" s="1"/>
      <c r="O229" s="1"/>
    </row>
    <row r="230" spans="1:15" ht="15">
      <c r="A230" s="2"/>
      <c r="B230" s="2"/>
      <c r="C230" s="2"/>
      <c r="D230" s="8"/>
      <c r="E230" s="8"/>
      <c r="F230" s="8"/>
      <c r="G230" s="8"/>
      <c r="H230" s="2"/>
      <c r="I230" s="2"/>
      <c r="J230" s="2"/>
      <c r="K230" s="1"/>
      <c r="L230" s="1"/>
      <c r="M230" s="1"/>
      <c r="N230" s="1"/>
      <c r="O230" s="1"/>
    </row>
    <row r="231" spans="1:15" ht="15">
      <c r="A231" s="2"/>
      <c r="B231" s="2"/>
      <c r="C231" s="2"/>
      <c r="D231" s="8"/>
      <c r="E231" s="8"/>
      <c r="F231" s="8"/>
      <c r="G231" s="8"/>
      <c r="H231" s="2"/>
      <c r="I231" s="2"/>
      <c r="J231" s="2"/>
      <c r="K231" s="1"/>
      <c r="L231" s="1"/>
      <c r="M231" s="1"/>
      <c r="N231" s="1"/>
      <c r="O231" s="1"/>
    </row>
    <row r="232" spans="1:15" ht="15">
      <c r="A232" s="2"/>
      <c r="B232" s="2"/>
      <c r="C232" s="2"/>
      <c r="D232" s="8"/>
      <c r="E232" s="8"/>
      <c r="F232" s="8"/>
      <c r="G232" s="8"/>
      <c r="H232" s="2"/>
      <c r="I232" s="2"/>
      <c r="J232" s="2"/>
      <c r="K232" s="1"/>
      <c r="L232" s="1"/>
      <c r="M232" s="1"/>
      <c r="N232" s="1"/>
      <c r="O232" s="1"/>
    </row>
    <row r="233" spans="1:15" ht="15">
      <c r="A233" s="2"/>
      <c r="B233" s="2"/>
      <c r="C233" s="2"/>
      <c r="D233" s="8"/>
      <c r="E233" s="8"/>
      <c r="F233" s="8"/>
      <c r="G233" s="8"/>
      <c r="H233" s="2"/>
      <c r="I233" s="2"/>
      <c r="J233" s="2"/>
      <c r="K233" s="1"/>
      <c r="L233" s="1"/>
      <c r="M233" s="1"/>
      <c r="N233" s="1"/>
      <c r="O233" s="1"/>
    </row>
    <row r="234" spans="1:15" ht="15">
      <c r="A234" s="2"/>
      <c r="B234" s="2"/>
      <c r="C234" s="2"/>
      <c r="D234" s="8"/>
      <c r="E234" s="8"/>
      <c r="F234" s="8"/>
      <c r="G234" s="8"/>
      <c r="H234" s="2"/>
      <c r="I234" s="2"/>
      <c r="J234" s="2"/>
      <c r="K234" s="1"/>
      <c r="L234" s="1"/>
      <c r="M234" s="1"/>
      <c r="N234" s="1"/>
      <c r="O234" s="1"/>
    </row>
    <row r="235" spans="1:15" ht="15">
      <c r="A235" s="2"/>
      <c r="B235" s="2"/>
      <c r="C235" s="2"/>
      <c r="D235" s="8"/>
      <c r="E235" s="8"/>
      <c r="F235" s="8"/>
      <c r="G235" s="8"/>
      <c r="H235" s="2"/>
      <c r="I235" s="2"/>
      <c r="J235" s="2"/>
      <c r="K235" s="1"/>
      <c r="L235" s="1"/>
      <c r="M235" s="1"/>
      <c r="N235" s="1"/>
      <c r="O235" s="1"/>
    </row>
    <row r="236" spans="1:15" ht="15">
      <c r="A236" s="2"/>
      <c r="B236" s="2"/>
      <c r="C236" s="2"/>
      <c r="D236" s="8"/>
      <c r="E236" s="8"/>
      <c r="F236" s="8"/>
      <c r="G236" s="8"/>
      <c r="H236" s="2"/>
      <c r="I236" s="2"/>
      <c r="J236" s="2"/>
      <c r="K236" s="1"/>
      <c r="L236" s="1"/>
      <c r="M236" s="1"/>
      <c r="N236" s="1"/>
      <c r="O236" s="1"/>
    </row>
    <row r="237" spans="1:15" ht="15">
      <c r="A237" s="2"/>
      <c r="B237" s="2"/>
      <c r="C237" s="2"/>
      <c r="D237" s="8"/>
      <c r="E237" s="8"/>
      <c r="F237" s="8"/>
      <c r="G237" s="8"/>
      <c r="H237" s="2"/>
      <c r="I237" s="2"/>
      <c r="J237" s="2"/>
      <c r="K237" s="1"/>
      <c r="L237" s="1"/>
      <c r="M237" s="1"/>
      <c r="N237" s="1"/>
      <c r="O237" s="1"/>
    </row>
    <row r="238" spans="1:15" ht="15">
      <c r="A238" s="2"/>
      <c r="B238" s="2"/>
      <c r="C238" s="2"/>
      <c r="D238" s="8"/>
      <c r="E238" s="8"/>
      <c r="F238" s="8"/>
      <c r="G238" s="8"/>
      <c r="H238" s="2"/>
      <c r="I238" s="2"/>
      <c r="J238" s="2"/>
      <c r="K238" s="1"/>
      <c r="L238" s="1"/>
      <c r="M238" s="1"/>
      <c r="N238" s="1"/>
      <c r="O238" s="1"/>
    </row>
    <row r="239" spans="1:15" ht="15">
      <c r="A239" s="2"/>
      <c r="B239" s="2"/>
      <c r="C239" s="2"/>
      <c r="D239" s="8"/>
      <c r="E239" s="8"/>
      <c r="F239" s="8"/>
      <c r="G239" s="8"/>
      <c r="H239" s="2"/>
      <c r="I239" s="2"/>
      <c r="J239" s="2"/>
      <c r="K239" s="1"/>
      <c r="L239" s="1"/>
      <c r="M239" s="1"/>
      <c r="N239" s="1"/>
      <c r="O239" s="1"/>
    </row>
    <row r="240" spans="1:15" ht="15">
      <c r="A240" s="2"/>
      <c r="B240" s="2"/>
      <c r="C240" s="2"/>
      <c r="D240" s="8"/>
      <c r="E240" s="8"/>
      <c r="F240" s="8"/>
      <c r="G240" s="8"/>
      <c r="H240" s="2"/>
      <c r="I240" s="2"/>
      <c r="J240" s="2"/>
      <c r="K240" s="1"/>
      <c r="L240" s="1"/>
      <c r="M240" s="1"/>
      <c r="N240" s="1"/>
      <c r="O240" s="1"/>
    </row>
    <row r="241" spans="1:15" ht="15">
      <c r="A241" s="2"/>
      <c r="B241" s="2"/>
      <c r="C241" s="2"/>
      <c r="D241" s="8"/>
      <c r="E241" s="8"/>
      <c r="F241" s="8"/>
      <c r="G241" s="8"/>
      <c r="H241" s="2"/>
      <c r="I241" s="2"/>
      <c r="J241" s="2"/>
      <c r="K241" s="1"/>
      <c r="L241" s="1"/>
      <c r="M241" s="1"/>
      <c r="N241" s="1"/>
      <c r="O241" s="1"/>
    </row>
    <row r="242" spans="1:15" ht="15">
      <c r="A242" s="2"/>
      <c r="B242" s="2"/>
      <c r="C242" s="2"/>
      <c r="D242" s="8"/>
      <c r="E242" s="8"/>
      <c r="F242" s="8"/>
      <c r="G242" s="8"/>
      <c r="H242" s="2"/>
      <c r="I242" s="2"/>
      <c r="J242" s="2"/>
      <c r="K242" s="1"/>
      <c r="L242" s="1"/>
      <c r="M242" s="1"/>
      <c r="N242" s="1"/>
      <c r="O242" s="1"/>
    </row>
    <row r="243" spans="1:15" ht="15">
      <c r="A243" s="2"/>
      <c r="B243" s="2"/>
      <c r="C243" s="2"/>
      <c r="D243" s="8"/>
      <c r="E243" s="8"/>
      <c r="F243" s="8"/>
      <c r="G243" s="8"/>
      <c r="H243" s="2"/>
      <c r="I243" s="2"/>
      <c r="J243" s="2"/>
      <c r="K243" s="1"/>
      <c r="L243" s="1"/>
      <c r="M243" s="1"/>
      <c r="N243" s="1"/>
      <c r="O243" s="1"/>
    </row>
    <row r="244" spans="1:15" ht="15">
      <c r="A244" s="2"/>
      <c r="B244" s="2"/>
      <c r="C244" s="2"/>
      <c r="D244" s="8"/>
      <c r="E244" s="8"/>
      <c r="F244" s="8"/>
      <c r="G244" s="8"/>
      <c r="H244" s="2"/>
      <c r="I244" s="2"/>
      <c r="J244" s="2"/>
      <c r="K244" s="1"/>
      <c r="L244" s="1"/>
      <c r="M244" s="1"/>
      <c r="N244" s="1"/>
      <c r="O244" s="1"/>
    </row>
    <row r="245" spans="1:15" ht="15">
      <c r="A245" s="2"/>
      <c r="B245" s="2"/>
      <c r="C245" s="2"/>
      <c r="D245" s="8"/>
      <c r="E245" s="8"/>
      <c r="F245" s="8"/>
      <c r="G245" s="8"/>
      <c r="H245" s="2"/>
      <c r="I245" s="2"/>
      <c r="J245" s="2"/>
      <c r="K245" s="1"/>
      <c r="L245" s="1"/>
      <c r="M245" s="1"/>
      <c r="N245" s="1"/>
      <c r="O245" s="1"/>
    </row>
    <row r="246" spans="1:15" ht="15">
      <c r="A246" s="2"/>
      <c r="B246" s="2"/>
      <c r="C246" s="2"/>
      <c r="D246" s="8"/>
      <c r="E246" s="8"/>
      <c r="F246" s="8"/>
      <c r="G246" s="8"/>
      <c r="H246" s="2"/>
      <c r="I246" s="2"/>
      <c r="J246" s="2"/>
      <c r="K246" s="1"/>
      <c r="L246" s="1"/>
      <c r="M246" s="1"/>
      <c r="N246" s="1"/>
      <c r="O246" s="1"/>
    </row>
    <row r="247" spans="1:15" ht="15">
      <c r="A247" s="2"/>
      <c r="B247" s="2"/>
      <c r="C247" s="2"/>
      <c r="D247" s="8"/>
      <c r="E247" s="8"/>
      <c r="F247" s="8"/>
      <c r="G247" s="8"/>
      <c r="H247" s="2"/>
      <c r="I247" s="2"/>
      <c r="J247" s="2"/>
      <c r="K247" s="1"/>
      <c r="L247" s="1"/>
      <c r="M247" s="1"/>
      <c r="N247" s="1"/>
      <c r="O247" s="1"/>
    </row>
    <row r="248" spans="1:15" ht="15">
      <c r="A248" s="2"/>
      <c r="B248" s="2"/>
      <c r="C248" s="2"/>
      <c r="D248" s="8"/>
      <c r="E248" s="8"/>
      <c r="F248" s="8"/>
      <c r="G248" s="8"/>
      <c r="H248" s="2"/>
      <c r="I248" s="2"/>
      <c r="J248" s="2"/>
      <c r="K248" s="1"/>
      <c r="L248" s="1"/>
      <c r="M248" s="1"/>
      <c r="N248" s="1"/>
      <c r="O248" s="1"/>
    </row>
    <row r="249" spans="1:15" ht="15">
      <c r="A249" s="2"/>
      <c r="B249" s="2"/>
      <c r="C249" s="2"/>
      <c r="D249" s="8"/>
      <c r="E249" s="8"/>
      <c r="F249" s="8"/>
      <c r="G249" s="8"/>
      <c r="H249" s="2"/>
      <c r="I249" s="2"/>
      <c r="J249" s="2"/>
      <c r="K249" s="1"/>
      <c r="L249" s="1"/>
      <c r="M249" s="1"/>
      <c r="N249" s="1"/>
      <c r="O249" s="1"/>
    </row>
    <row r="250" spans="1:15" ht="15">
      <c r="A250" s="2"/>
      <c r="B250" s="2"/>
      <c r="C250" s="2"/>
      <c r="D250" s="8"/>
      <c r="E250" s="8"/>
      <c r="F250" s="8"/>
      <c r="G250" s="8"/>
      <c r="H250" s="2"/>
      <c r="I250" s="2"/>
      <c r="J250" s="2"/>
      <c r="K250" s="1"/>
      <c r="L250" s="1"/>
      <c r="M250" s="1"/>
      <c r="N250" s="1"/>
      <c r="O250" s="1"/>
    </row>
    <row r="251" spans="1:15" ht="15">
      <c r="A251" s="2"/>
      <c r="B251" s="2"/>
      <c r="C251" s="2"/>
      <c r="D251" s="8"/>
      <c r="E251" s="8"/>
      <c r="F251" s="8"/>
      <c r="G251" s="8"/>
      <c r="H251" s="2"/>
      <c r="I251" s="2"/>
      <c r="J251" s="2"/>
      <c r="K251" s="1"/>
      <c r="L251" s="1"/>
      <c r="M251" s="1"/>
      <c r="N251" s="1"/>
      <c r="O251" s="1"/>
    </row>
    <row r="252" spans="1:15" ht="15">
      <c r="A252" s="2"/>
      <c r="B252" s="2"/>
      <c r="C252" s="2"/>
      <c r="D252" s="8"/>
      <c r="E252" s="8"/>
      <c r="F252" s="8"/>
      <c r="G252" s="8"/>
      <c r="H252" s="2"/>
      <c r="I252" s="2"/>
      <c r="J252" s="2"/>
      <c r="K252" s="1"/>
      <c r="L252" s="1"/>
      <c r="M252" s="1"/>
      <c r="N252" s="1"/>
      <c r="O252" s="1"/>
    </row>
    <row r="253" spans="1:15" ht="15">
      <c r="A253" s="2"/>
      <c r="B253" s="2"/>
      <c r="C253" s="2"/>
      <c r="D253" s="8"/>
      <c r="E253" s="8"/>
      <c r="F253" s="8"/>
      <c r="G253" s="8"/>
      <c r="H253" s="2"/>
      <c r="I253" s="2"/>
      <c r="J253" s="2"/>
      <c r="K253" s="1"/>
      <c r="L253" s="1"/>
      <c r="M253" s="1"/>
      <c r="N253" s="1"/>
      <c r="O253" s="1"/>
    </row>
    <row r="254" spans="1:15" ht="15">
      <c r="A254" s="2"/>
      <c r="B254" s="2"/>
      <c r="C254" s="2"/>
      <c r="D254" s="8"/>
      <c r="E254" s="8"/>
      <c r="F254" s="8"/>
      <c r="G254" s="8"/>
      <c r="H254" s="2"/>
      <c r="I254" s="2"/>
      <c r="J254" s="2"/>
      <c r="K254" s="1"/>
      <c r="L254" s="1"/>
      <c r="M254" s="1"/>
      <c r="N254" s="1"/>
      <c r="O254" s="1"/>
    </row>
    <row r="255" spans="1:15" ht="15">
      <c r="A255" s="2"/>
      <c r="B255" s="2"/>
      <c r="C255" s="2"/>
      <c r="D255" s="8"/>
      <c r="E255" s="8"/>
      <c r="F255" s="8"/>
      <c r="G255" s="8"/>
      <c r="H255" s="2"/>
      <c r="I255" s="2"/>
      <c r="J255" s="2"/>
      <c r="K255" s="1"/>
      <c r="L255" s="1"/>
      <c r="M255" s="1"/>
      <c r="N255" s="1"/>
      <c r="O255" s="1"/>
    </row>
    <row r="256" spans="1:15" ht="15">
      <c r="A256" s="2"/>
      <c r="B256" s="2"/>
      <c r="C256" s="2"/>
      <c r="D256" s="8"/>
      <c r="E256" s="8"/>
      <c r="F256" s="8"/>
      <c r="G256" s="8"/>
      <c r="H256" s="2"/>
      <c r="I256" s="2"/>
      <c r="J256" s="2"/>
      <c r="K256" s="1"/>
      <c r="L256" s="1"/>
      <c r="M256" s="1"/>
      <c r="N256" s="1"/>
      <c r="O256" s="1"/>
    </row>
    <row r="257" spans="1:15" ht="15">
      <c r="A257" s="2"/>
      <c r="B257" s="2"/>
      <c r="C257" s="2"/>
      <c r="D257" s="8"/>
      <c r="E257" s="8"/>
      <c r="F257" s="8"/>
      <c r="G257" s="8"/>
      <c r="H257" s="2"/>
      <c r="I257" s="2"/>
      <c r="J257" s="2"/>
      <c r="K257" s="1"/>
      <c r="L257" s="1"/>
      <c r="M257" s="1"/>
      <c r="N257" s="1"/>
      <c r="O257" s="1"/>
    </row>
    <row r="258" spans="1:15" ht="15">
      <c r="A258" s="2"/>
      <c r="B258" s="2"/>
      <c r="C258" s="2"/>
      <c r="D258" s="8"/>
      <c r="E258" s="8"/>
      <c r="F258" s="8"/>
      <c r="G258" s="8"/>
      <c r="H258" s="2"/>
      <c r="I258" s="2"/>
      <c r="J258" s="2"/>
      <c r="K258" s="1"/>
      <c r="L258" s="1"/>
      <c r="M258" s="1"/>
      <c r="N258" s="1"/>
      <c r="O258" s="1"/>
    </row>
    <row r="259" spans="1:15" ht="15">
      <c r="A259" s="2"/>
      <c r="B259" s="2"/>
      <c r="C259" s="2"/>
      <c r="D259" s="8"/>
      <c r="E259" s="8"/>
      <c r="F259" s="8"/>
      <c r="G259" s="8"/>
      <c r="H259" s="2"/>
      <c r="I259" s="2"/>
      <c r="J259" s="2"/>
      <c r="K259" s="1"/>
      <c r="L259" s="1"/>
      <c r="M259" s="1"/>
      <c r="N259" s="1"/>
      <c r="O259" s="1"/>
    </row>
    <row r="260" spans="1:15" ht="15">
      <c r="A260" s="2"/>
      <c r="B260" s="2"/>
      <c r="C260" s="2"/>
      <c r="D260" s="8"/>
      <c r="E260" s="8"/>
      <c r="F260" s="8"/>
      <c r="G260" s="8"/>
      <c r="H260" s="2"/>
      <c r="I260" s="2"/>
      <c r="J260" s="2"/>
      <c r="K260" s="1"/>
      <c r="L260" s="1"/>
      <c r="M260" s="1"/>
      <c r="N260" s="1"/>
      <c r="O260" s="1"/>
    </row>
    <row r="261" spans="1:15" ht="15">
      <c r="A261" s="2"/>
      <c r="B261" s="2"/>
      <c r="C261" s="2"/>
      <c r="D261" s="8"/>
      <c r="E261" s="8"/>
      <c r="F261" s="8"/>
      <c r="G261" s="8"/>
      <c r="H261" s="2"/>
      <c r="I261" s="2"/>
      <c r="J261" s="2"/>
      <c r="K261" s="1"/>
      <c r="L261" s="1"/>
      <c r="M261" s="1"/>
      <c r="N261" s="1"/>
      <c r="O261" s="1"/>
    </row>
    <row r="262" spans="1:15" ht="15">
      <c r="A262" s="2"/>
      <c r="B262" s="2"/>
      <c r="C262" s="2"/>
      <c r="D262" s="8"/>
      <c r="E262" s="8"/>
      <c r="F262" s="8"/>
      <c r="G262" s="8"/>
      <c r="H262" s="2"/>
      <c r="I262" s="2"/>
      <c r="J262" s="2"/>
      <c r="K262" s="1"/>
      <c r="L262" s="1"/>
      <c r="M262" s="1"/>
      <c r="N262" s="1"/>
      <c r="O262" s="1"/>
    </row>
    <row r="263" spans="1:15" ht="15">
      <c r="A263" s="2"/>
      <c r="B263" s="2"/>
      <c r="C263" s="2"/>
      <c r="D263" s="8"/>
      <c r="E263" s="8"/>
      <c r="F263" s="8"/>
      <c r="G263" s="8"/>
      <c r="H263" s="2"/>
      <c r="I263" s="2"/>
      <c r="J263" s="2"/>
      <c r="K263" s="1"/>
      <c r="L263" s="1"/>
      <c r="M263" s="1"/>
      <c r="N263" s="1"/>
      <c r="O263" s="1"/>
    </row>
    <row r="264" spans="1:15" ht="15">
      <c r="A264" s="2"/>
      <c r="B264" s="2"/>
      <c r="C264" s="2"/>
      <c r="D264" s="8"/>
      <c r="E264" s="8"/>
      <c r="F264" s="8"/>
      <c r="G264" s="8"/>
      <c r="H264" s="2"/>
      <c r="I264" s="2"/>
      <c r="J264" s="2"/>
      <c r="K264" s="1"/>
      <c r="L264" s="1"/>
      <c r="M264" s="1"/>
      <c r="N264" s="1"/>
      <c r="O264" s="1"/>
    </row>
    <row r="265" spans="1:15" ht="15">
      <c r="A265" s="2"/>
      <c r="B265" s="2"/>
      <c r="C265" s="2"/>
      <c r="D265" s="8"/>
      <c r="E265" s="8"/>
      <c r="F265" s="8"/>
      <c r="G265" s="8"/>
      <c r="H265" s="2"/>
      <c r="I265" s="2"/>
      <c r="J265" s="2"/>
      <c r="K265" s="1"/>
      <c r="L265" s="1"/>
      <c r="M265" s="1"/>
      <c r="N265" s="1"/>
      <c r="O265" s="1"/>
    </row>
    <row r="266" spans="1:15" ht="15">
      <c r="A266" s="2"/>
      <c r="B266" s="2"/>
      <c r="C266" s="2"/>
      <c r="D266" s="8"/>
      <c r="E266" s="8"/>
      <c r="F266" s="8"/>
      <c r="G266" s="8"/>
      <c r="H266" s="2"/>
      <c r="I266" s="2"/>
      <c r="J266" s="2"/>
      <c r="K266" s="1"/>
      <c r="L266" s="1"/>
      <c r="M266" s="1"/>
      <c r="N266" s="1"/>
      <c r="O266" s="1"/>
    </row>
    <row r="267" spans="1:15" ht="15">
      <c r="A267" s="2"/>
      <c r="B267" s="2"/>
      <c r="C267" s="2"/>
      <c r="D267" s="8"/>
      <c r="E267" s="8"/>
      <c r="F267" s="8"/>
      <c r="G267" s="8"/>
      <c r="H267" s="2"/>
      <c r="I267" s="2"/>
      <c r="J267" s="2"/>
      <c r="K267" s="1"/>
      <c r="L267" s="1"/>
      <c r="M267" s="1"/>
      <c r="N267" s="1"/>
      <c r="O267" s="1"/>
    </row>
    <row r="268" spans="1:15" ht="15">
      <c r="A268" s="2"/>
      <c r="B268" s="2"/>
      <c r="C268" s="2"/>
      <c r="D268" s="8"/>
      <c r="E268" s="8"/>
      <c r="F268" s="8"/>
      <c r="G268" s="8"/>
      <c r="H268" s="2"/>
      <c r="I268" s="2"/>
      <c r="J268" s="2"/>
      <c r="K268" s="1"/>
      <c r="L268" s="1"/>
      <c r="M268" s="1"/>
      <c r="N268" s="1"/>
      <c r="O268" s="1"/>
    </row>
    <row r="269" spans="1:15" ht="15">
      <c r="A269" s="2"/>
      <c r="B269" s="2"/>
      <c r="C269" s="2"/>
      <c r="D269" s="8"/>
      <c r="E269" s="8"/>
      <c r="F269" s="8"/>
      <c r="G269" s="8"/>
      <c r="H269" s="2"/>
      <c r="I269" s="2"/>
      <c r="J269" s="2"/>
      <c r="K269" s="1"/>
      <c r="L269" s="1"/>
      <c r="M269" s="1"/>
      <c r="N269" s="1"/>
      <c r="O269" s="1"/>
    </row>
    <row r="270" spans="1:15" ht="15">
      <c r="A270" s="2"/>
      <c r="B270" s="2"/>
      <c r="C270" s="2"/>
      <c r="D270" s="8"/>
      <c r="E270" s="8"/>
      <c r="F270" s="8"/>
      <c r="G270" s="8"/>
      <c r="H270" s="2"/>
      <c r="I270" s="2"/>
      <c r="J270" s="2"/>
      <c r="K270" s="1"/>
      <c r="L270" s="1"/>
      <c r="M270" s="1"/>
      <c r="N270" s="1"/>
      <c r="O270" s="1"/>
    </row>
    <row r="271" spans="1:15" ht="15">
      <c r="A271" s="2"/>
      <c r="B271" s="2"/>
      <c r="C271" s="2"/>
      <c r="D271" s="8"/>
      <c r="E271" s="8"/>
      <c r="F271" s="8"/>
      <c r="G271" s="8"/>
      <c r="H271" s="2"/>
      <c r="I271" s="2"/>
      <c r="J271" s="2"/>
      <c r="K271" s="1"/>
      <c r="L271" s="1"/>
      <c r="M271" s="1"/>
      <c r="N271" s="1"/>
      <c r="O271" s="1"/>
    </row>
    <row r="272" spans="1:15" ht="15">
      <c r="A272" s="2"/>
      <c r="B272" s="2"/>
      <c r="C272" s="2"/>
      <c r="D272" s="8"/>
      <c r="E272" s="8"/>
      <c r="F272" s="8"/>
      <c r="G272" s="8"/>
      <c r="H272" s="2"/>
      <c r="I272" s="2"/>
      <c r="J272" s="2"/>
      <c r="K272" s="1"/>
      <c r="L272" s="1"/>
      <c r="M272" s="1"/>
      <c r="N272" s="1"/>
      <c r="O272" s="1"/>
    </row>
    <row r="273" spans="1:15" ht="15">
      <c r="A273" s="2"/>
      <c r="B273" s="2"/>
      <c r="C273" s="2"/>
      <c r="D273" s="8"/>
      <c r="E273" s="8"/>
      <c r="F273" s="8"/>
      <c r="G273" s="8"/>
      <c r="H273" s="2"/>
      <c r="I273" s="2"/>
      <c r="J273" s="2"/>
      <c r="K273" s="1"/>
      <c r="L273" s="1"/>
      <c r="M273" s="1"/>
      <c r="N273" s="1"/>
      <c r="O273" s="1"/>
    </row>
    <row r="274" spans="1:15" ht="15">
      <c r="A274" s="2"/>
      <c r="B274" s="2"/>
      <c r="C274" s="2"/>
      <c r="D274" s="8"/>
      <c r="E274" s="8"/>
      <c r="F274" s="8"/>
      <c r="G274" s="8"/>
      <c r="H274" s="2"/>
      <c r="I274" s="2"/>
      <c r="J274" s="2"/>
      <c r="K274" s="1"/>
      <c r="L274" s="1"/>
      <c r="M274" s="1"/>
      <c r="N274" s="1"/>
      <c r="O274" s="1"/>
    </row>
    <row r="275" spans="1:15" ht="15">
      <c r="A275" s="2"/>
      <c r="B275" s="2"/>
      <c r="C275" s="2"/>
      <c r="D275" s="8"/>
      <c r="E275" s="8"/>
      <c r="F275" s="8"/>
      <c r="G275" s="8"/>
      <c r="H275" s="2"/>
      <c r="I275" s="2"/>
      <c r="J275" s="2"/>
      <c r="K275" s="1"/>
      <c r="L275" s="1"/>
      <c r="M275" s="1"/>
      <c r="N275" s="1"/>
      <c r="O275" s="1"/>
    </row>
    <row r="276" spans="1:15" ht="15">
      <c r="A276" s="2"/>
      <c r="B276" s="2"/>
      <c r="C276" s="2"/>
      <c r="D276" s="8"/>
      <c r="E276" s="8"/>
      <c r="F276" s="8"/>
      <c r="G276" s="8"/>
      <c r="H276" s="2"/>
      <c r="I276" s="2"/>
      <c r="J276" s="2"/>
      <c r="K276" s="1"/>
      <c r="L276" s="1"/>
      <c r="M276" s="1"/>
      <c r="N276" s="1"/>
      <c r="O276" s="1"/>
    </row>
    <row r="277" spans="1:15" ht="15">
      <c r="A277" s="2"/>
      <c r="B277" s="2"/>
      <c r="C277" s="2"/>
      <c r="D277" s="8"/>
      <c r="E277" s="8"/>
      <c r="F277" s="8"/>
      <c r="G277" s="8"/>
      <c r="H277" s="2"/>
      <c r="I277" s="2"/>
      <c r="J277" s="2"/>
      <c r="K277" s="1"/>
      <c r="L277" s="1"/>
      <c r="M277" s="1"/>
      <c r="N277" s="1"/>
      <c r="O277" s="1"/>
    </row>
    <row r="278" spans="1:15" ht="15">
      <c r="A278" s="2"/>
      <c r="B278" s="2"/>
      <c r="C278" s="2"/>
      <c r="D278" s="8"/>
      <c r="E278" s="8"/>
      <c r="F278" s="8"/>
      <c r="G278" s="8"/>
      <c r="H278" s="2"/>
      <c r="I278" s="2"/>
      <c r="J278" s="2"/>
      <c r="K278" s="1"/>
      <c r="L278" s="1"/>
      <c r="M278" s="1"/>
      <c r="N278" s="1"/>
      <c r="O278" s="1"/>
    </row>
    <row r="279" spans="1:15" ht="15">
      <c r="A279" s="2"/>
      <c r="B279" s="2"/>
      <c r="C279" s="2"/>
      <c r="D279" s="8"/>
      <c r="E279" s="8"/>
      <c r="F279" s="8"/>
      <c r="G279" s="8"/>
      <c r="H279" s="2"/>
      <c r="I279" s="2"/>
      <c r="J279" s="2"/>
      <c r="K279" s="1"/>
      <c r="L279" s="1"/>
      <c r="M279" s="1"/>
      <c r="N279" s="1"/>
      <c r="O279" s="1"/>
    </row>
    <row r="280" spans="1:15" ht="15">
      <c r="A280" s="2"/>
      <c r="B280" s="2"/>
      <c r="C280" s="2"/>
      <c r="D280" s="8"/>
      <c r="E280" s="8"/>
      <c r="F280" s="8"/>
      <c r="G280" s="8"/>
      <c r="H280" s="2"/>
      <c r="I280" s="2"/>
      <c r="J280" s="2"/>
      <c r="K280" s="1"/>
      <c r="L280" s="1"/>
      <c r="M280" s="1"/>
      <c r="N280" s="1"/>
      <c r="O280" s="1"/>
    </row>
    <row r="281" spans="1:15" ht="15">
      <c r="A281" s="2"/>
      <c r="B281" s="2"/>
      <c r="C281" s="2"/>
      <c r="D281" s="8"/>
      <c r="E281" s="8"/>
      <c r="F281" s="8"/>
      <c r="G281" s="8"/>
      <c r="H281" s="2"/>
      <c r="I281" s="2"/>
      <c r="J281" s="2"/>
      <c r="K281" s="1"/>
      <c r="L281" s="1"/>
      <c r="M281" s="1"/>
      <c r="N281" s="1"/>
      <c r="O281" s="1"/>
    </row>
    <row r="282" spans="1:15" ht="15">
      <c r="A282" s="2"/>
      <c r="B282" s="2"/>
      <c r="C282" s="2"/>
      <c r="D282" s="8"/>
      <c r="E282" s="8"/>
      <c r="F282" s="8"/>
      <c r="G282" s="8"/>
      <c r="H282" s="2"/>
      <c r="I282" s="2"/>
      <c r="J282" s="2"/>
      <c r="K282" s="1"/>
      <c r="L282" s="1"/>
      <c r="M282" s="1"/>
      <c r="N282" s="1"/>
      <c r="O282" s="1"/>
    </row>
    <row r="283" spans="1:15" ht="15">
      <c r="A283" s="2"/>
      <c r="B283" s="2"/>
      <c r="C283" s="2"/>
      <c r="D283" s="8"/>
      <c r="E283" s="8"/>
      <c r="F283" s="8"/>
      <c r="G283" s="8"/>
      <c r="H283" s="2"/>
      <c r="I283" s="2"/>
      <c r="J283" s="2"/>
      <c r="K283" s="1"/>
      <c r="L283" s="1"/>
      <c r="M283" s="1"/>
      <c r="N283" s="1"/>
      <c r="O283" s="1"/>
    </row>
    <row r="284" spans="1:15" ht="15">
      <c r="A284" s="2"/>
      <c r="B284" s="2"/>
      <c r="C284" s="2"/>
      <c r="D284" s="8"/>
      <c r="E284" s="8"/>
      <c r="F284" s="8"/>
      <c r="G284" s="8"/>
      <c r="H284" s="2"/>
      <c r="I284" s="2"/>
      <c r="J284" s="2"/>
      <c r="K284" s="1"/>
      <c r="L284" s="1"/>
      <c r="M284" s="1"/>
      <c r="N284" s="1"/>
      <c r="O284" s="1"/>
    </row>
    <row r="285" spans="1:15" ht="15">
      <c r="A285" s="2"/>
      <c r="B285" s="2"/>
      <c r="C285" s="2"/>
      <c r="D285" s="8"/>
      <c r="E285" s="8"/>
      <c r="F285" s="8"/>
      <c r="G285" s="8"/>
      <c r="H285" s="2"/>
      <c r="I285" s="2"/>
      <c r="J285" s="2"/>
      <c r="K285" s="1"/>
      <c r="L285" s="1"/>
      <c r="M285" s="1"/>
      <c r="N285" s="1"/>
      <c r="O285" s="1"/>
    </row>
    <row r="286" spans="1:15" ht="15">
      <c r="A286" s="2"/>
      <c r="B286" s="2"/>
      <c r="C286" s="2"/>
      <c r="D286" s="8"/>
      <c r="E286" s="8"/>
      <c r="F286" s="8"/>
      <c r="G286" s="8"/>
      <c r="H286" s="2"/>
      <c r="I286" s="2"/>
      <c r="J286" s="2"/>
      <c r="K286" s="1"/>
      <c r="L286" s="1"/>
      <c r="M286" s="1"/>
      <c r="N286" s="1"/>
      <c r="O286" s="1"/>
    </row>
    <row r="287" spans="1:15" ht="15">
      <c r="A287" s="2"/>
      <c r="B287" s="2"/>
      <c r="C287" s="2"/>
      <c r="D287" s="8"/>
      <c r="E287" s="8"/>
      <c r="F287" s="8"/>
      <c r="G287" s="8"/>
      <c r="H287" s="2"/>
      <c r="I287" s="2"/>
      <c r="J287" s="2"/>
      <c r="K287" s="1"/>
      <c r="L287" s="1"/>
      <c r="M287" s="1"/>
      <c r="N287" s="1"/>
      <c r="O287" s="1"/>
    </row>
    <row r="288" spans="1:15" ht="15">
      <c r="A288" s="2"/>
      <c r="B288" s="2"/>
      <c r="C288" s="2"/>
      <c r="D288" s="8"/>
      <c r="E288" s="8"/>
      <c r="F288" s="8"/>
      <c r="G288" s="8"/>
      <c r="H288" s="2"/>
      <c r="I288" s="2"/>
      <c r="J288" s="2"/>
      <c r="K288" s="1"/>
      <c r="L288" s="1"/>
      <c r="M288" s="1"/>
      <c r="N288" s="1"/>
      <c r="O288" s="1"/>
    </row>
    <row r="289" spans="1:15" ht="15">
      <c r="A289" s="2"/>
      <c r="B289" s="2"/>
      <c r="C289" s="2"/>
      <c r="D289" s="8"/>
      <c r="E289" s="8"/>
      <c r="F289" s="8"/>
      <c r="G289" s="8"/>
      <c r="H289" s="2"/>
      <c r="I289" s="2"/>
      <c r="J289" s="2"/>
      <c r="K289" s="1"/>
      <c r="L289" s="1"/>
      <c r="M289" s="1"/>
      <c r="N289" s="1"/>
      <c r="O289" s="1"/>
    </row>
    <row r="290" spans="1:15" ht="15">
      <c r="A290" s="2"/>
      <c r="B290" s="2"/>
      <c r="C290" s="2"/>
      <c r="D290" s="8"/>
      <c r="E290" s="8"/>
      <c r="F290" s="8"/>
      <c r="G290" s="8"/>
      <c r="H290" s="2"/>
      <c r="I290" s="2"/>
      <c r="J290" s="2"/>
      <c r="K290" s="1"/>
      <c r="L290" s="1"/>
      <c r="M290" s="1"/>
      <c r="N290" s="1"/>
      <c r="O290" s="1"/>
    </row>
    <row r="291" spans="1:15" ht="15">
      <c r="A291" s="2"/>
      <c r="B291" s="2"/>
      <c r="C291" s="2"/>
      <c r="D291" s="8"/>
      <c r="E291" s="8"/>
      <c r="F291" s="8"/>
      <c r="G291" s="8"/>
      <c r="H291" s="2"/>
      <c r="I291" s="2"/>
      <c r="J291" s="2"/>
      <c r="K291" s="1"/>
      <c r="L291" s="1"/>
      <c r="M291" s="1"/>
      <c r="N291" s="1"/>
      <c r="O291" s="1"/>
    </row>
    <row r="292" spans="1:15" ht="15">
      <c r="A292" s="2"/>
      <c r="B292" s="2"/>
      <c r="C292" s="2"/>
      <c r="D292" s="8"/>
      <c r="E292" s="8"/>
      <c r="F292" s="8"/>
      <c r="G292" s="8"/>
      <c r="H292" s="2"/>
      <c r="I292" s="2"/>
      <c r="J292" s="2"/>
      <c r="K292" s="1"/>
      <c r="L292" s="1"/>
      <c r="M292" s="1"/>
      <c r="N292" s="1"/>
      <c r="O292" s="1"/>
    </row>
    <row r="293" spans="1:15" ht="15">
      <c r="A293" s="2"/>
      <c r="B293" s="2"/>
      <c r="C293" s="2"/>
      <c r="D293" s="8"/>
      <c r="E293" s="8"/>
      <c r="F293" s="8"/>
      <c r="G293" s="8"/>
      <c r="H293" s="2"/>
      <c r="I293" s="2"/>
      <c r="J293" s="2"/>
      <c r="K293" s="1"/>
      <c r="L293" s="1"/>
      <c r="M293" s="1"/>
      <c r="N293" s="1"/>
      <c r="O293" s="1"/>
    </row>
    <row r="294" spans="1:15" ht="15">
      <c r="A294" s="2"/>
      <c r="B294" s="2"/>
      <c r="C294" s="2"/>
      <c r="D294" s="8"/>
      <c r="E294" s="8"/>
      <c r="F294" s="8"/>
      <c r="G294" s="8"/>
      <c r="H294" s="2"/>
      <c r="I294" s="2"/>
      <c r="J294" s="2"/>
      <c r="K294" s="1"/>
      <c r="L294" s="1"/>
      <c r="M294" s="1"/>
      <c r="N294" s="1"/>
      <c r="O294" s="1"/>
    </row>
    <row r="295" spans="1:15" ht="15">
      <c r="A295" s="2"/>
      <c r="B295" s="2"/>
      <c r="C295" s="2"/>
      <c r="D295" s="8"/>
      <c r="E295" s="8"/>
      <c r="F295" s="8"/>
      <c r="G295" s="8"/>
      <c r="H295" s="2"/>
      <c r="I295" s="2"/>
      <c r="J295" s="2"/>
      <c r="K295" s="1"/>
      <c r="L295" s="1"/>
      <c r="M295" s="1"/>
      <c r="N295" s="1"/>
      <c r="O295" s="1"/>
    </row>
    <row r="296" spans="1:15" ht="15">
      <c r="A296" s="2"/>
      <c r="B296" s="2"/>
      <c r="C296" s="2"/>
      <c r="D296" s="8"/>
      <c r="E296" s="8"/>
      <c r="F296" s="8"/>
      <c r="G296" s="8"/>
      <c r="H296" s="2"/>
      <c r="I296" s="2"/>
      <c r="J296" s="2"/>
      <c r="K296" s="1"/>
      <c r="L296" s="1"/>
      <c r="M296" s="1"/>
      <c r="N296" s="1"/>
      <c r="O296" s="1"/>
    </row>
    <row r="297" spans="1:15" ht="15">
      <c r="A297" s="2"/>
      <c r="B297" s="2"/>
      <c r="C297" s="2"/>
      <c r="D297" s="8"/>
      <c r="E297" s="8"/>
      <c r="F297" s="8"/>
      <c r="G297" s="8"/>
      <c r="H297" s="2"/>
      <c r="I297" s="2"/>
      <c r="J297" s="2"/>
      <c r="K297" s="1"/>
      <c r="L297" s="1"/>
      <c r="M297" s="1"/>
      <c r="N297" s="1"/>
      <c r="O297" s="1"/>
    </row>
    <row r="298" spans="1:15" ht="15">
      <c r="A298" s="2"/>
      <c r="B298" s="2"/>
      <c r="C298" s="2"/>
      <c r="D298" s="8"/>
      <c r="E298" s="8"/>
      <c r="F298" s="8"/>
      <c r="G298" s="8"/>
      <c r="H298" s="2"/>
      <c r="I298" s="2"/>
      <c r="J298" s="2"/>
      <c r="K298" s="1"/>
      <c r="L298" s="1"/>
      <c r="M298" s="1"/>
      <c r="N298" s="1"/>
      <c r="O298" s="1"/>
    </row>
    <row r="299" spans="1:15" ht="15">
      <c r="A299" s="2"/>
      <c r="B299" s="2"/>
      <c r="C299" s="2"/>
      <c r="D299" s="8"/>
      <c r="E299" s="8"/>
      <c r="F299" s="8"/>
      <c r="G299" s="8"/>
      <c r="H299" s="2"/>
      <c r="I299" s="2"/>
      <c r="J299" s="2"/>
      <c r="K299" s="1"/>
      <c r="L299" s="1"/>
      <c r="M299" s="1"/>
      <c r="N299" s="1"/>
      <c r="O299" s="1"/>
    </row>
    <row r="300" spans="1:15" ht="15">
      <c r="A300" s="2"/>
      <c r="B300" s="2"/>
      <c r="C300" s="2"/>
      <c r="D300" s="8"/>
      <c r="E300" s="8"/>
      <c r="F300" s="8"/>
      <c r="G300" s="8"/>
      <c r="H300" s="2"/>
      <c r="I300" s="2"/>
      <c r="J300" s="2"/>
      <c r="K300" s="1"/>
      <c r="L300" s="1"/>
      <c r="M300" s="1"/>
      <c r="N300" s="1"/>
      <c r="O300" s="1"/>
    </row>
    <row r="301" spans="1:15" ht="15">
      <c r="A301" s="2"/>
      <c r="B301" s="2"/>
      <c r="C301" s="2"/>
      <c r="D301" s="8"/>
      <c r="E301" s="8"/>
      <c r="F301" s="8"/>
      <c r="G301" s="8"/>
      <c r="H301" s="2"/>
      <c r="I301" s="2"/>
      <c r="J301" s="2"/>
      <c r="K301" s="1"/>
      <c r="L301" s="1"/>
      <c r="M301" s="1"/>
      <c r="N301" s="1"/>
      <c r="O301" s="1"/>
    </row>
    <row r="302" spans="1:15" ht="15">
      <c r="A302" s="2"/>
      <c r="B302" s="2"/>
      <c r="C302" s="2"/>
      <c r="D302" s="8"/>
      <c r="E302" s="8"/>
      <c r="F302" s="8"/>
      <c r="G302" s="8"/>
      <c r="H302" s="2"/>
      <c r="I302" s="2"/>
      <c r="J302" s="2"/>
      <c r="K302" s="1"/>
      <c r="L302" s="1"/>
      <c r="M302" s="1"/>
      <c r="N302" s="1"/>
      <c r="O302" s="1"/>
    </row>
    <row r="303" spans="1:15" ht="15">
      <c r="A303" s="2"/>
      <c r="B303" s="2"/>
      <c r="C303" s="2"/>
      <c r="D303" s="8"/>
      <c r="E303" s="8"/>
      <c r="F303" s="8"/>
      <c r="G303" s="8"/>
      <c r="H303" s="2"/>
      <c r="I303" s="2"/>
      <c r="J303" s="2"/>
      <c r="K303" s="1"/>
      <c r="L303" s="1"/>
      <c r="M303" s="1"/>
      <c r="N303" s="1"/>
      <c r="O303" s="1"/>
    </row>
    <row r="304" spans="1:15" ht="15">
      <c r="A304" s="2"/>
      <c r="B304" s="2"/>
      <c r="C304" s="2"/>
      <c r="D304" s="8"/>
      <c r="E304" s="8"/>
      <c r="F304" s="8"/>
      <c r="G304" s="8"/>
      <c r="H304" s="2"/>
      <c r="I304" s="2"/>
      <c r="J304" s="2"/>
      <c r="K304" s="1"/>
      <c r="L304" s="1"/>
      <c r="M304" s="1"/>
      <c r="N304" s="1"/>
      <c r="O304" s="1"/>
    </row>
    <row r="305" spans="1:15" ht="15">
      <c r="A305" s="2"/>
      <c r="B305" s="2"/>
      <c r="C305" s="2"/>
      <c r="D305" s="8"/>
      <c r="E305" s="8"/>
      <c r="F305" s="8"/>
      <c r="G305" s="8"/>
      <c r="H305" s="2"/>
      <c r="I305" s="2"/>
      <c r="J305" s="2"/>
      <c r="K305" s="1"/>
      <c r="L305" s="1"/>
      <c r="M305" s="1"/>
      <c r="N305" s="1"/>
      <c r="O305" s="1"/>
    </row>
    <row r="306" spans="1:15" ht="15">
      <c r="A306" s="2"/>
      <c r="B306" s="2"/>
      <c r="C306" s="2"/>
      <c r="D306" s="8"/>
      <c r="E306" s="8"/>
      <c r="F306" s="8"/>
      <c r="G306" s="8"/>
      <c r="H306" s="2"/>
      <c r="I306" s="2"/>
      <c r="J306" s="2"/>
      <c r="K306" s="1"/>
      <c r="L306" s="1"/>
      <c r="M306" s="1"/>
      <c r="N306" s="1"/>
      <c r="O306" s="1"/>
    </row>
    <row r="307" spans="1:15" ht="15">
      <c r="A307" s="2"/>
      <c r="B307" s="2"/>
      <c r="C307" s="2"/>
      <c r="D307" s="8"/>
      <c r="E307" s="8"/>
      <c r="F307" s="8"/>
      <c r="G307" s="8"/>
      <c r="H307" s="2"/>
      <c r="I307" s="2"/>
      <c r="J307" s="2"/>
      <c r="K307" s="1"/>
      <c r="L307" s="1"/>
      <c r="M307" s="1"/>
      <c r="N307" s="1"/>
      <c r="O307" s="1"/>
    </row>
    <row r="308" spans="1:15" ht="15">
      <c r="A308" s="2"/>
      <c r="B308" s="2"/>
      <c r="C308" s="2"/>
      <c r="D308" s="8"/>
      <c r="E308" s="8"/>
      <c r="F308" s="8"/>
      <c r="G308" s="8"/>
      <c r="H308" s="2"/>
      <c r="I308" s="2"/>
      <c r="J308" s="2"/>
      <c r="K308" s="1"/>
      <c r="L308" s="1"/>
      <c r="M308" s="1"/>
      <c r="N308" s="1"/>
      <c r="O308" s="1"/>
    </row>
    <row r="309" spans="1:15" ht="15">
      <c r="A309" s="2"/>
      <c r="B309" s="2"/>
      <c r="C309" s="2"/>
      <c r="D309" s="8"/>
      <c r="E309" s="8"/>
      <c r="F309" s="8"/>
      <c r="G309" s="8"/>
      <c r="H309" s="2"/>
      <c r="I309" s="2"/>
      <c r="J309" s="2"/>
      <c r="K309" s="1"/>
      <c r="L309" s="1"/>
      <c r="M309" s="1"/>
      <c r="N309" s="1"/>
      <c r="O309" s="1"/>
    </row>
    <row r="310" spans="1:15" ht="15">
      <c r="A310" s="2"/>
      <c r="B310" s="2"/>
      <c r="C310" s="2"/>
      <c r="D310" s="8"/>
      <c r="E310" s="8"/>
      <c r="F310" s="8"/>
      <c r="G310" s="8"/>
      <c r="H310" s="2"/>
      <c r="I310" s="2"/>
      <c r="J310" s="2"/>
      <c r="K310" s="1"/>
      <c r="L310" s="1"/>
      <c r="M310" s="1"/>
      <c r="N310" s="1"/>
      <c r="O310" s="1"/>
    </row>
    <row r="311" spans="1:15" ht="15">
      <c r="A311" s="2"/>
      <c r="B311" s="2"/>
      <c r="C311" s="2"/>
      <c r="D311" s="8"/>
      <c r="E311" s="8"/>
      <c r="F311" s="8"/>
      <c r="G311" s="8"/>
      <c r="H311" s="2"/>
      <c r="I311" s="2"/>
      <c r="J311" s="2"/>
      <c r="K311" s="1"/>
      <c r="L311" s="1"/>
      <c r="M311" s="1"/>
      <c r="N311" s="1"/>
      <c r="O311" s="1"/>
    </row>
    <row r="312" spans="1:15" ht="15">
      <c r="A312" s="2"/>
      <c r="B312" s="2"/>
      <c r="C312" s="2"/>
      <c r="D312" s="8"/>
      <c r="E312" s="8"/>
      <c r="F312" s="8"/>
      <c r="G312" s="8"/>
      <c r="H312" s="2"/>
      <c r="I312" s="2"/>
      <c r="J312" s="2"/>
      <c r="K312" s="1"/>
      <c r="L312" s="1"/>
      <c r="M312" s="1"/>
      <c r="N312" s="1"/>
      <c r="O312" s="1"/>
    </row>
    <row r="313" spans="1:15" ht="15">
      <c r="A313" s="2"/>
      <c r="B313" s="2"/>
      <c r="C313" s="2"/>
      <c r="D313" s="8"/>
      <c r="E313" s="8"/>
      <c r="F313" s="8"/>
      <c r="G313" s="8"/>
      <c r="H313" s="2"/>
      <c r="I313" s="2"/>
      <c r="J313" s="2"/>
      <c r="K313" s="1"/>
      <c r="L313" s="1"/>
      <c r="M313" s="1"/>
      <c r="N313" s="1"/>
      <c r="O313" s="1"/>
    </row>
    <row r="314" spans="1:15" ht="15">
      <c r="A314" s="2"/>
      <c r="B314" s="2"/>
      <c r="C314" s="2"/>
      <c r="D314" s="8"/>
      <c r="E314" s="8"/>
      <c r="F314" s="8"/>
      <c r="G314" s="8"/>
      <c r="H314" s="2"/>
      <c r="I314" s="2"/>
      <c r="J314" s="2"/>
      <c r="K314" s="1"/>
      <c r="L314" s="1"/>
      <c r="M314" s="1"/>
      <c r="N314" s="1"/>
      <c r="O314" s="1"/>
    </row>
    <row r="315" spans="1:15" ht="15">
      <c r="A315" s="2"/>
      <c r="B315" s="2"/>
      <c r="C315" s="2"/>
      <c r="D315" s="8"/>
      <c r="E315" s="8"/>
      <c r="F315" s="8"/>
      <c r="G315" s="8"/>
      <c r="H315" s="2"/>
      <c r="I315" s="2"/>
      <c r="J315" s="2"/>
      <c r="K315" s="1"/>
      <c r="L315" s="1"/>
      <c r="M315" s="1"/>
      <c r="N315" s="1"/>
      <c r="O315" s="1"/>
    </row>
    <row r="316" spans="1:15" ht="15">
      <c r="A316" s="2"/>
      <c r="B316" s="2"/>
      <c r="C316" s="2"/>
      <c r="D316" s="8"/>
      <c r="E316" s="8"/>
      <c r="F316" s="8"/>
      <c r="G316" s="8"/>
      <c r="H316" s="2"/>
      <c r="I316" s="2"/>
      <c r="J316" s="2"/>
      <c r="K316" s="1"/>
      <c r="L316" s="1"/>
      <c r="M316" s="1"/>
      <c r="N316" s="1"/>
      <c r="O316" s="1"/>
    </row>
    <row r="317" spans="1:15" ht="15">
      <c r="A317" s="2"/>
      <c r="B317" s="2"/>
      <c r="C317" s="2"/>
      <c r="D317" s="8"/>
      <c r="E317" s="8"/>
      <c r="F317" s="8"/>
      <c r="G317" s="8"/>
      <c r="H317" s="2"/>
      <c r="I317" s="2"/>
      <c r="J317" s="2"/>
      <c r="K317" s="1"/>
      <c r="L317" s="1"/>
      <c r="M317" s="1"/>
      <c r="N317" s="1"/>
      <c r="O317" s="1"/>
    </row>
    <row r="318" spans="1:15" ht="15">
      <c r="A318" s="2"/>
      <c r="B318" s="2"/>
      <c r="C318" s="2"/>
      <c r="D318" s="8"/>
      <c r="E318" s="8"/>
      <c r="F318" s="8"/>
      <c r="G318" s="8"/>
      <c r="H318" s="2"/>
      <c r="I318" s="2"/>
      <c r="J318" s="2"/>
      <c r="K318" s="1"/>
      <c r="L318" s="1"/>
      <c r="M318" s="1"/>
      <c r="N318" s="1"/>
      <c r="O318" s="1"/>
    </row>
    <row r="319" spans="1:15" ht="15">
      <c r="A319" s="2"/>
      <c r="B319" s="2"/>
      <c r="C319" s="2"/>
      <c r="D319" s="8"/>
      <c r="E319" s="8"/>
      <c r="F319" s="8"/>
      <c r="G319" s="8"/>
      <c r="H319" s="2"/>
      <c r="I319" s="2"/>
      <c r="J319" s="2"/>
      <c r="K319" s="1"/>
      <c r="L319" s="1"/>
      <c r="M319" s="1"/>
      <c r="N319" s="1"/>
      <c r="O319" s="1"/>
    </row>
    <row r="320" spans="1:15" ht="15">
      <c r="A320" s="2"/>
      <c r="B320" s="2"/>
      <c r="C320" s="2"/>
      <c r="D320" s="8"/>
      <c r="E320" s="8"/>
      <c r="F320" s="8"/>
      <c r="G320" s="8"/>
      <c r="H320" s="2"/>
      <c r="I320" s="2"/>
      <c r="J320" s="2"/>
      <c r="K320" s="1"/>
      <c r="L320" s="1"/>
      <c r="M320" s="1"/>
      <c r="N320" s="1"/>
      <c r="O320" s="1"/>
    </row>
    <row r="321" spans="1:15" ht="15">
      <c r="A321" s="2"/>
      <c r="B321" s="2"/>
      <c r="C321" s="2"/>
      <c r="D321" s="8"/>
      <c r="E321" s="8"/>
      <c r="F321" s="8"/>
      <c r="G321" s="8"/>
      <c r="H321" s="2"/>
      <c r="I321" s="2"/>
      <c r="J321" s="2"/>
      <c r="K321" s="1"/>
      <c r="L321" s="1"/>
      <c r="M321" s="1"/>
      <c r="N321" s="1"/>
      <c r="O321" s="1"/>
    </row>
    <row r="322" spans="1:15" ht="15">
      <c r="A322" s="2"/>
      <c r="B322" s="2"/>
      <c r="C322" s="2"/>
      <c r="D322" s="8"/>
      <c r="E322" s="8"/>
      <c r="F322" s="8"/>
      <c r="G322" s="8"/>
      <c r="H322" s="2"/>
      <c r="I322" s="2"/>
      <c r="J322" s="2"/>
      <c r="K322" s="1"/>
      <c r="L322" s="1"/>
      <c r="M322" s="1"/>
      <c r="N322" s="1"/>
      <c r="O322" s="1"/>
    </row>
    <row r="323" spans="1:15" ht="15">
      <c r="A323" s="2"/>
      <c r="B323" s="2"/>
      <c r="C323" s="2"/>
      <c r="D323" s="8"/>
      <c r="E323" s="8"/>
      <c r="F323" s="8"/>
      <c r="G323" s="8"/>
      <c r="H323" s="2"/>
      <c r="I323" s="2"/>
      <c r="J323" s="2"/>
      <c r="K323" s="1"/>
      <c r="L323" s="1"/>
      <c r="M323" s="1"/>
      <c r="N323" s="1"/>
      <c r="O323" s="1"/>
    </row>
    <row r="324" spans="1:15" ht="15">
      <c r="A324" s="2"/>
      <c r="B324" s="2"/>
      <c r="C324" s="2"/>
      <c r="D324" s="8"/>
      <c r="E324" s="8"/>
      <c r="F324" s="8"/>
      <c r="G324" s="8"/>
      <c r="H324" s="2"/>
      <c r="I324" s="2"/>
      <c r="J324" s="2"/>
      <c r="K324" s="1"/>
      <c r="L324" s="1"/>
      <c r="M324" s="1"/>
      <c r="N324" s="1"/>
      <c r="O324" s="1"/>
    </row>
    <row r="325" spans="1:15" ht="15">
      <c r="A325" s="2"/>
      <c r="B325" s="2"/>
      <c r="C325" s="2"/>
      <c r="D325" s="8"/>
      <c r="E325" s="8"/>
      <c r="F325" s="8"/>
      <c r="G325" s="8"/>
      <c r="H325" s="2"/>
      <c r="I325" s="2"/>
      <c r="J325" s="2"/>
      <c r="K325" s="1"/>
      <c r="L325" s="1"/>
      <c r="M325" s="1"/>
      <c r="N325" s="1"/>
      <c r="O325" s="1"/>
    </row>
    <row r="326" spans="1:15" ht="15">
      <c r="A326" s="2"/>
      <c r="B326" s="2"/>
      <c r="C326" s="2"/>
      <c r="D326" s="8"/>
      <c r="E326" s="8"/>
      <c r="F326" s="8"/>
      <c r="G326" s="8"/>
      <c r="H326" s="2"/>
      <c r="I326" s="2"/>
      <c r="J326" s="2"/>
      <c r="K326" s="1"/>
      <c r="L326" s="1"/>
      <c r="M326" s="1"/>
      <c r="N326" s="1"/>
      <c r="O326" s="1"/>
    </row>
    <row r="327" spans="1:15" ht="15">
      <c r="A327" s="2"/>
      <c r="B327" s="2"/>
      <c r="C327" s="2"/>
      <c r="D327" s="8"/>
      <c r="E327" s="8"/>
      <c r="F327" s="8"/>
      <c r="G327" s="8"/>
      <c r="H327" s="2"/>
      <c r="I327" s="2"/>
      <c r="J327" s="2"/>
      <c r="K327" s="1"/>
      <c r="L327" s="1"/>
      <c r="M327" s="1"/>
      <c r="N327" s="1"/>
      <c r="O327" s="1"/>
    </row>
    <row r="328" spans="1:15" ht="15">
      <c r="A328" s="2"/>
      <c r="B328" s="2"/>
      <c r="C328" s="2"/>
      <c r="D328" s="8"/>
      <c r="E328" s="8"/>
      <c r="F328" s="8"/>
      <c r="G328" s="8"/>
      <c r="H328" s="2"/>
      <c r="I328" s="2"/>
      <c r="J328" s="2"/>
      <c r="K328" s="1"/>
      <c r="L328" s="1"/>
      <c r="M328" s="1"/>
      <c r="N328" s="1"/>
      <c r="O328" s="1"/>
    </row>
    <row r="329" spans="1:15" ht="15">
      <c r="A329" s="2"/>
      <c r="B329" s="2"/>
      <c r="C329" s="2"/>
      <c r="D329" s="8"/>
      <c r="E329" s="8"/>
      <c r="F329" s="8"/>
      <c r="G329" s="8"/>
      <c r="H329" s="2"/>
      <c r="I329" s="2"/>
      <c r="J329" s="2"/>
      <c r="K329" s="1"/>
      <c r="L329" s="1"/>
      <c r="M329" s="1"/>
      <c r="N329" s="1"/>
      <c r="O329" s="1"/>
    </row>
    <row r="330" spans="1:15" ht="15">
      <c r="A330" s="2"/>
      <c r="B330" s="2"/>
      <c r="C330" s="2"/>
      <c r="D330" s="8"/>
      <c r="E330" s="8"/>
      <c r="F330" s="8"/>
      <c r="G330" s="8"/>
      <c r="H330" s="2"/>
      <c r="I330" s="2"/>
      <c r="J330" s="2"/>
      <c r="K330" s="1"/>
      <c r="L330" s="1"/>
      <c r="M330" s="1"/>
      <c r="N330" s="1"/>
      <c r="O330" s="1"/>
    </row>
    <row r="331" spans="1:15" ht="15">
      <c r="A331" s="2"/>
      <c r="B331" s="2"/>
      <c r="C331" s="2"/>
      <c r="D331" s="8"/>
      <c r="E331" s="8"/>
      <c r="F331" s="8"/>
      <c r="G331" s="8"/>
      <c r="H331" s="2"/>
      <c r="I331" s="2"/>
      <c r="J331" s="2"/>
      <c r="K331" s="1"/>
      <c r="L331" s="1"/>
      <c r="M331" s="1"/>
      <c r="N331" s="1"/>
      <c r="O331" s="1"/>
    </row>
    <row r="332" spans="1:15" ht="15">
      <c r="A332" s="2"/>
      <c r="B332" s="2"/>
      <c r="C332" s="2"/>
      <c r="D332" s="8"/>
      <c r="E332" s="8"/>
      <c r="F332" s="8"/>
      <c r="G332" s="8"/>
      <c r="H332" s="2"/>
      <c r="I332" s="2"/>
      <c r="J332" s="2"/>
      <c r="K332" s="1"/>
      <c r="L332" s="1"/>
      <c r="M332" s="1"/>
      <c r="N332" s="1"/>
      <c r="O332" s="1"/>
    </row>
    <row r="333" spans="1:15" ht="15">
      <c r="A333" s="2"/>
      <c r="B333" s="2"/>
      <c r="C333" s="2"/>
      <c r="D333" s="8"/>
      <c r="E333" s="8"/>
      <c r="F333" s="8"/>
      <c r="G333" s="8"/>
      <c r="H333" s="2"/>
      <c r="I333" s="2"/>
      <c r="J333" s="2"/>
      <c r="K333" s="1"/>
      <c r="L333" s="1"/>
      <c r="M333" s="1"/>
      <c r="N333" s="1"/>
      <c r="O333" s="1"/>
    </row>
    <row r="334" spans="1:15" ht="15">
      <c r="A334" s="2"/>
      <c r="B334" s="2"/>
      <c r="C334" s="2"/>
      <c r="D334" s="8"/>
      <c r="E334" s="8"/>
      <c r="F334" s="8"/>
      <c r="G334" s="8"/>
      <c r="H334" s="2"/>
      <c r="I334" s="2"/>
      <c r="J334" s="2"/>
      <c r="K334" s="1"/>
      <c r="L334" s="1"/>
      <c r="M334" s="1"/>
      <c r="N334" s="1"/>
      <c r="O334" s="1"/>
    </row>
    <row r="335" spans="1:15" ht="15">
      <c r="A335" s="2"/>
      <c r="B335" s="2"/>
      <c r="C335" s="2"/>
      <c r="D335" s="8"/>
      <c r="E335" s="8"/>
      <c r="F335" s="8"/>
      <c r="G335" s="8"/>
      <c r="H335" s="2"/>
      <c r="I335" s="2"/>
      <c r="J335" s="2"/>
      <c r="K335" s="1"/>
      <c r="L335" s="1"/>
      <c r="M335" s="1"/>
      <c r="N335" s="1"/>
      <c r="O335" s="1"/>
    </row>
    <row r="336" spans="1:15" ht="15">
      <c r="A336" s="2"/>
      <c r="B336" s="2"/>
      <c r="C336" s="2"/>
      <c r="D336" s="8"/>
      <c r="E336" s="8"/>
      <c r="F336" s="8"/>
      <c r="G336" s="8"/>
      <c r="H336" s="2"/>
      <c r="I336" s="2"/>
      <c r="J336" s="2"/>
      <c r="K336" s="1"/>
      <c r="L336" s="1"/>
      <c r="M336" s="1"/>
      <c r="N336" s="1"/>
      <c r="O336" s="1"/>
    </row>
    <row r="337" spans="1:15" ht="15">
      <c r="A337" s="2"/>
      <c r="B337" s="2"/>
      <c r="C337" s="2"/>
      <c r="D337" s="8"/>
      <c r="E337" s="8"/>
      <c r="F337" s="8"/>
      <c r="G337" s="8"/>
      <c r="H337" s="2"/>
      <c r="I337" s="2"/>
      <c r="J337" s="2"/>
      <c r="K337" s="1"/>
      <c r="L337" s="1"/>
      <c r="M337" s="1"/>
      <c r="N337" s="1"/>
      <c r="O337" s="1"/>
    </row>
    <row r="338" spans="1:15" ht="15">
      <c r="A338" s="2"/>
      <c r="B338" s="2"/>
      <c r="C338" s="2"/>
      <c r="D338" s="8"/>
      <c r="E338" s="8"/>
      <c r="F338" s="8"/>
      <c r="G338" s="8"/>
      <c r="H338" s="2"/>
      <c r="I338" s="2"/>
      <c r="J338" s="2"/>
      <c r="K338" s="1"/>
      <c r="L338" s="1"/>
      <c r="M338" s="1"/>
      <c r="N338" s="1"/>
      <c r="O338" s="1"/>
    </row>
    <row r="339" spans="1:15" ht="15">
      <c r="A339" s="2"/>
      <c r="B339" s="2"/>
      <c r="C339" s="2"/>
      <c r="D339" s="8"/>
      <c r="E339" s="8"/>
      <c r="F339" s="8"/>
      <c r="G339" s="8"/>
      <c r="H339" s="2"/>
      <c r="I339" s="2"/>
      <c r="J339" s="2"/>
      <c r="K339" s="1"/>
      <c r="L339" s="1"/>
      <c r="M339" s="1"/>
      <c r="N339" s="1"/>
      <c r="O339" s="1"/>
    </row>
    <row r="340" spans="1:15" ht="15">
      <c r="A340" s="2"/>
      <c r="B340" s="2"/>
      <c r="C340" s="2"/>
      <c r="D340" s="8"/>
      <c r="E340" s="8"/>
      <c r="F340" s="8"/>
      <c r="G340" s="8"/>
      <c r="H340" s="2"/>
      <c r="I340" s="2"/>
      <c r="J340" s="2"/>
      <c r="K340" s="1"/>
      <c r="L340" s="1"/>
      <c r="M340" s="1"/>
      <c r="N340" s="1"/>
      <c r="O340" s="1"/>
    </row>
    <row r="341" spans="1:15" ht="15">
      <c r="A341" s="2"/>
      <c r="B341" s="2"/>
      <c r="C341" s="2"/>
      <c r="D341" s="8"/>
      <c r="E341" s="8"/>
      <c r="F341" s="8"/>
      <c r="G341" s="8"/>
      <c r="H341" s="2"/>
      <c r="I341" s="2"/>
      <c r="J341" s="2"/>
      <c r="K341" s="1"/>
      <c r="L341" s="1"/>
      <c r="M341" s="1"/>
      <c r="N341" s="1"/>
      <c r="O341" s="1"/>
    </row>
    <row r="342" spans="1:15" ht="15">
      <c r="A342" s="2"/>
      <c r="B342" s="2"/>
      <c r="C342" s="2"/>
      <c r="D342" s="8"/>
      <c r="E342" s="8"/>
      <c r="F342" s="8"/>
      <c r="G342" s="8"/>
      <c r="H342" s="2"/>
      <c r="I342" s="2"/>
      <c r="J342" s="2"/>
      <c r="K342" s="1"/>
      <c r="L342" s="1"/>
      <c r="M342" s="1"/>
      <c r="N342" s="1"/>
      <c r="O342" s="1"/>
    </row>
    <row r="343" spans="1:15" ht="15">
      <c r="A343" s="2"/>
      <c r="B343" s="2"/>
      <c r="C343" s="2"/>
      <c r="D343" s="8"/>
      <c r="E343" s="8"/>
      <c r="F343" s="8"/>
      <c r="G343" s="8"/>
      <c r="H343" s="2"/>
      <c r="I343" s="2"/>
      <c r="J343" s="2"/>
      <c r="K343" s="1"/>
      <c r="L343" s="1"/>
      <c r="M343" s="1"/>
      <c r="N343" s="1"/>
      <c r="O343" s="1"/>
    </row>
    <row r="344" spans="1:15" ht="15">
      <c r="A344" s="2"/>
      <c r="B344" s="2"/>
      <c r="C344" s="2"/>
      <c r="D344" s="8"/>
      <c r="E344" s="8"/>
      <c r="F344" s="8"/>
      <c r="G344" s="8"/>
      <c r="H344" s="2"/>
      <c r="I344" s="2"/>
      <c r="J344" s="2"/>
      <c r="K344" s="1"/>
      <c r="L344" s="1"/>
      <c r="M344" s="1"/>
      <c r="N344" s="1"/>
      <c r="O344" s="1"/>
    </row>
    <row r="345" spans="1:15" ht="15">
      <c r="A345" s="2"/>
      <c r="B345" s="2"/>
      <c r="C345" s="2"/>
      <c r="D345" s="8"/>
      <c r="E345" s="8"/>
      <c r="F345" s="8"/>
      <c r="G345" s="8"/>
      <c r="H345" s="2"/>
      <c r="I345" s="2"/>
      <c r="J345" s="2"/>
      <c r="K345" s="1"/>
      <c r="L345" s="1"/>
      <c r="M345" s="1"/>
      <c r="N345" s="1"/>
      <c r="O345" s="1"/>
    </row>
    <row r="346" spans="1:15" ht="15">
      <c r="A346" s="2"/>
      <c r="B346" s="2"/>
      <c r="C346" s="2"/>
      <c r="D346" s="8"/>
      <c r="E346" s="8"/>
      <c r="F346" s="8"/>
      <c r="G346" s="8"/>
      <c r="H346" s="2"/>
      <c r="I346" s="2"/>
      <c r="J346" s="2"/>
      <c r="K346" s="1"/>
      <c r="L346" s="1"/>
      <c r="M346" s="1"/>
      <c r="N346" s="1"/>
      <c r="O346" s="1"/>
    </row>
    <row r="347" spans="1:15" ht="15">
      <c r="A347" s="2"/>
      <c r="B347" s="2"/>
      <c r="C347" s="2"/>
      <c r="D347" s="8"/>
      <c r="E347" s="8"/>
      <c r="F347" s="8"/>
      <c r="G347" s="8"/>
      <c r="H347" s="2"/>
      <c r="I347" s="2"/>
      <c r="J347" s="2"/>
      <c r="K347" s="1"/>
      <c r="L347" s="1"/>
      <c r="M347" s="1"/>
      <c r="N347" s="1"/>
      <c r="O347" s="1"/>
    </row>
    <row r="348" spans="1:15" ht="15">
      <c r="A348" s="2"/>
      <c r="B348" s="2"/>
      <c r="C348" s="2"/>
      <c r="D348" s="8"/>
      <c r="E348" s="8"/>
      <c r="F348" s="8"/>
      <c r="G348" s="8"/>
      <c r="H348" s="2"/>
      <c r="I348" s="2"/>
      <c r="J348" s="2"/>
      <c r="K348" s="1"/>
      <c r="L348" s="1"/>
      <c r="M348" s="1"/>
      <c r="N348" s="1"/>
      <c r="O348" s="1"/>
    </row>
    <row r="349" spans="1:15" ht="15">
      <c r="A349" s="2"/>
      <c r="B349" s="2"/>
      <c r="C349" s="2"/>
      <c r="D349" s="8"/>
      <c r="E349" s="8"/>
      <c r="F349" s="8"/>
      <c r="G349" s="8"/>
      <c r="H349" s="2"/>
      <c r="I349" s="2"/>
      <c r="J349" s="2"/>
      <c r="K349" s="1"/>
      <c r="L349" s="1"/>
      <c r="M349" s="1"/>
      <c r="N349" s="1"/>
      <c r="O349" s="1"/>
    </row>
    <row r="350" spans="1:15" ht="15">
      <c r="A350" s="2"/>
      <c r="B350" s="2"/>
      <c r="C350" s="2"/>
      <c r="D350" s="8"/>
      <c r="E350" s="8"/>
      <c r="F350" s="8"/>
      <c r="G350" s="8"/>
      <c r="H350" s="2"/>
      <c r="I350" s="2"/>
      <c r="J350" s="2"/>
      <c r="K350" s="1"/>
      <c r="L350" s="1"/>
      <c r="M350" s="1"/>
      <c r="N350" s="1"/>
      <c r="O350" s="1"/>
    </row>
    <row r="351" spans="1:15" ht="15">
      <c r="A351" s="2"/>
      <c r="B351" s="2"/>
      <c r="C351" s="2"/>
      <c r="D351" s="8"/>
      <c r="E351" s="8"/>
      <c r="F351" s="8"/>
      <c r="G351" s="8"/>
      <c r="H351" s="2"/>
      <c r="I351" s="2"/>
      <c r="J351" s="2"/>
      <c r="K351" s="1"/>
      <c r="L351" s="1"/>
      <c r="M351" s="1"/>
      <c r="N351" s="1"/>
      <c r="O351" s="1"/>
    </row>
    <row r="352" spans="1:15" ht="15">
      <c r="A352" s="2"/>
      <c r="B352" s="2"/>
      <c r="C352" s="2"/>
      <c r="D352" s="8"/>
      <c r="E352" s="8"/>
      <c r="F352" s="8"/>
      <c r="G352" s="8"/>
      <c r="H352" s="2"/>
      <c r="I352" s="2"/>
      <c r="J352" s="2"/>
      <c r="K352" s="1"/>
      <c r="L352" s="1"/>
      <c r="M352" s="1"/>
      <c r="N352" s="1"/>
      <c r="O352" s="1"/>
    </row>
    <row r="353" spans="1:15" ht="15">
      <c r="A353" s="2"/>
      <c r="B353" s="2"/>
      <c r="C353" s="2"/>
      <c r="D353" s="8"/>
      <c r="E353" s="8"/>
      <c r="F353" s="8"/>
      <c r="G353" s="8"/>
      <c r="H353" s="2"/>
      <c r="I353" s="2"/>
      <c r="J353" s="2"/>
      <c r="K353" s="1"/>
      <c r="L353" s="1"/>
      <c r="M353" s="1"/>
      <c r="N353" s="1"/>
      <c r="O353" s="1"/>
    </row>
    <row r="354" spans="1:15" ht="15">
      <c r="A354" s="2"/>
      <c r="B354" s="2"/>
      <c r="C354" s="2"/>
      <c r="D354" s="8"/>
      <c r="E354" s="8"/>
      <c r="F354" s="8"/>
      <c r="G354" s="8"/>
      <c r="H354" s="2"/>
      <c r="I354" s="2"/>
      <c r="J354" s="2"/>
      <c r="K354" s="1"/>
      <c r="L354" s="1"/>
      <c r="M354" s="1"/>
      <c r="N354" s="1"/>
      <c r="O354" s="1"/>
    </row>
    <row r="355" spans="1:15" ht="15">
      <c r="A355" s="2"/>
      <c r="B355" s="2"/>
      <c r="C355" s="2"/>
      <c r="D355" s="8"/>
      <c r="E355" s="8"/>
      <c r="F355" s="8"/>
      <c r="G355" s="8"/>
      <c r="H355" s="2"/>
      <c r="I355" s="2"/>
      <c r="J355" s="2"/>
      <c r="K355" s="1"/>
      <c r="L355" s="1"/>
      <c r="M355" s="1"/>
      <c r="N355" s="1"/>
      <c r="O355" s="1"/>
    </row>
    <row r="356" spans="1:15" ht="15">
      <c r="A356" s="2"/>
      <c r="B356" s="2"/>
      <c r="C356" s="2"/>
      <c r="D356" s="8"/>
      <c r="E356" s="8"/>
      <c r="F356" s="8"/>
      <c r="G356" s="8"/>
      <c r="H356" s="2"/>
      <c r="I356" s="2"/>
      <c r="J356" s="2"/>
      <c r="K356" s="1"/>
      <c r="L356" s="1"/>
      <c r="M356" s="1"/>
      <c r="N356" s="1"/>
      <c r="O356" s="1"/>
    </row>
    <row r="357" spans="1:15" ht="15">
      <c r="A357" s="2"/>
      <c r="B357" s="2"/>
      <c r="C357" s="2"/>
      <c r="D357" s="8"/>
      <c r="E357" s="8"/>
      <c r="F357" s="8"/>
      <c r="G357" s="8"/>
      <c r="H357" s="2"/>
      <c r="I357" s="2"/>
      <c r="J357" s="2"/>
      <c r="K357" s="1"/>
      <c r="L357" s="1"/>
      <c r="M357" s="1"/>
      <c r="N357" s="1"/>
      <c r="O357" s="1"/>
    </row>
    <row r="358" spans="1:15" ht="15">
      <c r="A358" s="2"/>
      <c r="B358" s="2"/>
      <c r="C358" s="2"/>
      <c r="D358" s="8"/>
      <c r="E358" s="8"/>
      <c r="F358" s="8"/>
      <c r="G358" s="8"/>
      <c r="H358" s="2"/>
      <c r="I358" s="2"/>
      <c r="J358" s="2"/>
      <c r="K358" s="1"/>
      <c r="L358" s="1"/>
      <c r="M358" s="1"/>
      <c r="N358" s="1"/>
      <c r="O358" s="1"/>
    </row>
    <row r="359" spans="1:15" ht="15">
      <c r="A359" s="2"/>
      <c r="B359" s="2"/>
      <c r="C359" s="2"/>
      <c r="D359" s="8"/>
      <c r="E359" s="8"/>
      <c r="F359" s="8"/>
      <c r="G359" s="8"/>
      <c r="H359" s="2"/>
      <c r="I359" s="2"/>
      <c r="J359" s="2"/>
      <c r="K359" s="1"/>
      <c r="L359" s="1"/>
      <c r="M359" s="1"/>
      <c r="N359" s="1"/>
      <c r="O359" s="1"/>
    </row>
    <row r="360" spans="1:15" ht="15">
      <c r="A360" s="2"/>
      <c r="B360" s="2"/>
      <c r="C360" s="2"/>
      <c r="D360" s="8"/>
      <c r="E360" s="8"/>
      <c r="F360" s="8"/>
      <c r="G360" s="8"/>
      <c r="H360" s="2"/>
      <c r="I360" s="2"/>
      <c r="J360" s="2"/>
      <c r="K360" s="1"/>
      <c r="L360" s="1"/>
      <c r="M360" s="1"/>
      <c r="N360" s="1"/>
      <c r="O360" s="1"/>
    </row>
    <row r="361" spans="1:15" ht="15">
      <c r="A361" s="2"/>
      <c r="B361" s="2"/>
      <c r="C361" s="2"/>
      <c r="D361" s="8"/>
      <c r="E361" s="8"/>
      <c r="F361" s="8"/>
      <c r="G361" s="8"/>
      <c r="H361" s="2"/>
      <c r="I361" s="2"/>
      <c r="J361" s="2"/>
      <c r="K361" s="1"/>
      <c r="L361" s="1"/>
      <c r="M361" s="1"/>
      <c r="N361" s="1"/>
      <c r="O361" s="1"/>
    </row>
    <row r="362" spans="1:15" ht="15">
      <c r="A362" s="2"/>
      <c r="B362" s="2"/>
      <c r="C362" s="2"/>
      <c r="D362" s="8"/>
      <c r="E362" s="8"/>
      <c r="F362" s="8"/>
      <c r="G362" s="8"/>
      <c r="H362" s="2"/>
      <c r="I362" s="2"/>
      <c r="J362" s="2"/>
      <c r="K362" s="1"/>
      <c r="L362" s="1"/>
      <c r="M362" s="1"/>
      <c r="N362" s="1"/>
      <c r="O362" s="1"/>
    </row>
    <row r="363" spans="1:15" ht="15">
      <c r="A363" s="2"/>
      <c r="B363" s="2"/>
      <c r="C363" s="2"/>
      <c r="D363" s="8"/>
      <c r="E363" s="8"/>
      <c r="F363" s="8"/>
      <c r="G363" s="8"/>
      <c r="H363" s="2"/>
      <c r="I363" s="2"/>
      <c r="J363" s="2"/>
      <c r="K363" s="1"/>
      <c r="L363" s="1"/>
      <c r="M363" s="1"/>
      <c r="N363" s="1"/>
      <c r="O363" s="1"/>
    </row>
    <row r="364" spans="1:15" ht="15">
      <c r="A364" s="2"/>
      <c r="B364" s="2"/>
      <c r="C364" s="2"/>
      <c r="D364" s="8"/>
      <c r="E364" s="8"/>
      <c r="F364" s="8"/>
      <c r="G364" s="8"/>
      <c r="H364" s="2"/>
      <c r="I364" s="2"/>
      <c r="J364" s="2"/>
      <c r="K364" s="1"/>
      <c r="L364" s="1"/>
      <c r="M364" s="1"/>
      <c r="N364" s="1"/>
      <c r="O364" s="1"/>
    </row>
    <row r="365" spans="1:15" ht="15">
      <c r="A365" s="2"/>
      <c r="B365" s="2"/>
      <c r="C365" s="2"/>
      <c r="D365" s="8"/>
      <c r="E365" s="8"/>
      <c r="F365" s="8"/>
      <c r="G365" s="8"/>
      <c r="H365" s="2"/>
      <c r="I365" s="2"/>
      <c r="J365" s="2"/>
      <c r="K365" s="1"/>
      <c r="L365" s="1"/>
      <c r="M365" s="1"/>
      <c r="N365" s="1"/>
      <c r="O365" s="1"/>
    </row>
    <row r="366" spans="1:15" ht="15">
      <c r="A366" s="2"/>
      <c r="B366" s="2"/>
      <c r="C366" s="2"/>
      <c r="D366" s="8"/>
      <c r="E366" s="8"/>
      <c r="F366" s="8"/>
      <c r="G366" s="8"/>
      <c r="H366" s="2"/>
      <c r="I366" s="2"/>
      <c r="J366" s="2"/>
      <c r="K366" s="1"/>
      <c r="L366" s="1"/>
      <c r="M366" s="1"/>
      <c r="N366" s="1"/>
      <c r="O366" s="1"/>
    </row>
    <row r="367" spans="1:15" ht="15">
      <c r="A367" s="2"/>
      <c r="B367" s="2"/>
      <c r="C367" s="2"/>
      <c r="D367" s="8"/>
      <c r="E367" s="8"/>
      <c r="F367" s="8"/>
      <c r="G367" s="8"/>
      <c r="H367" s="2"/>
      <c r="I367" s="2"/>
      <c r="J367" s="2"/>
      <c r="K367" s="1"/>
      <c r="L367" s="1"/>
      <c r="M367" s="1"/>
      <c r="N367" s="1"/>
      <c r="O367" s="1"/>
    </row>
    <row r="368" spans="1:15" ht="15">
      <c r="A368" s="2"/>
      <c r="B368" s="2"/>
      <c r="C368" s="2"/>
      <c r="D368" s="8"/>
      <c r="E368" s="8"/>
      <c r="F368" s="8"/>
      <c r="G368" s="8"/>
      <c r="H368" s="2"/>
      <c r="I368" s="2"/>
      <c r="J368" s="2"/>
      <c r="K368" s="1"/>
      <c r="L368" s="1"/>
      <c r="M368" s="1"/>
      <c r="N368" s="1"/>
      <c r="O368" s="1"/>
    </row>
    <row r="369" spans="1:15" ht="15">
      <c r="A369" s="2"/>
      <c r="B369" s="2"/>
      <c r="C369" s="2"/>
      <c r="D369" s="8"/>
      <c r="E369" s="8"/>
      <c r="F369" s="8"/>
      <c r="G369" s="8"/>
      <c r="H369" s="2"/>
      <c r="I369" s="2"/>
      <c r="J369" s="2"/>
      <c r="K369" s="1"/>
      <c r="L369" s="1"/>
      <c r="M369" s="1"/>
      <c r="N369" s="1"/>
      <c r="O369" s="1"/>
    </row>
    <row r="370" spans="1:15" ht="15">
      <c r="A370" s="2"/>
      <c r="B370" s="2"/>
      <c r="C370" s="2"/>
      <c r="D370" s="8"/>
      <c r="E370" s="8"/>
      <c r="F370" s="8"/>
      <c r="G370" s="8"/>
      <c r="H370" s="2"/>
      <c r="I370" s="2"/>
      <c r="J370" s="2"/>
      <c r="K370" s="1"/>
      <c r="L370" s="1"/>
      <c r="M370" s="1"/>
      <c r="N370" s="1"/>
      <c r="O370" s="1"/>
    </row>
    <row r="371" spans="1:15" ht="15">
      <c r="A371" s="2"/>
      <c r="B371" s="2"/>
      <c r="C371" s="2"/>
      <c r="D371" s="8"/>
      <c r="E371" s="8"/>
      <c r="F371" s="8"/>
      <c r="G371" s="8"/>
      <c r="H371" s="2"/>
      <c r="I371" s="2"/>
      <c r="J371" s="2"/>
      <c r="K371" s="1"/>
      <c r="L371" s="1"/>
      <c r="M371" s="1"/>
      <c r="N371" s="1"/>
      <c r="O371" s="1"/>
    </row>
    <row r="372" spans="1:15" ht="15">
      <c r="A372" s="2"/>
      <c r="B372" s="2"/>
      <c r="C372" s="2"/>
      <c r="D372" s="8"/>
      <c r="E372" s="8"/>
      <c r="F372" s="8"/>
      <c r="G372" s="8"/>
      <c r="H372" s="2"/>
      <c r="I372" s="2"/>
      <c r="J372" s="2"/>
      <c r="K372" s="1"/>
      <c r="L372" s="1"/>
      <c r="M372" s="1"/>
      <c r="N372" s="1"/>
      <c r="O372" s="1"/>
    </row>
    <row r="373" spans="1:15" ht="15">
      <c r="A373" s="2"/>
      <c r="B373" s="2"/>
      <c r="C373" s="2"/>
      <c r="D373" s="8"/>
      <c r="E373" s="8"/>
      <c r="F373" s="8"/>
      <c r="G373" s="8"/>
      <c r="H373" s="2"/>
      <c r="I373" s="2"/>
      <c r="J373" s="2"/>
      <c r="K373" s="1"/>
      <c r="L373" s="1"/>
      <c r="M373" s="1"/>
      <c r="N373" s="1"/>
      <c r="O373" s="1"/>
    </row>
    <row r="374" spans="1:15" ht="15">
      <c r="A374" s="2"/>
      <c r="B374" s="2"/>
      <c r="C374" s="2"/>
      <c r="D374" s="8"/>
      <c r="E374" s="8"/>
      <c r="F374" s="8"/>
      <c r="G374" s="8"/>
      <c r="H374" s="2"/>
      <c r="I374" s="2"/>
      <c r="J374" s="2"/>
      <c r="K374" s="1"/>
      <c r="L374" s="1"/>
      <c r="M374" s="1"/>
      <c r="N374" s="1"/>
      <c r="O374" s="1"/>
    </row>
    <row r="375" spans="1:15" ht="15">
      <c r="A375" s="2"/>
      <c r="B375" s="2"/>
      <c r="C375" s="2"/>
      <c r="D375" s="8"/>
      <c r="E375" s="8"/>
      <c r="F375" s="8"/>
      <c r="G375" s="8"/>
      <c r="H375" s="2"/>
      <c r="I375" s="2"/>
      <c r="J375" s="2"/>
      <c r="K375" s="1"/>
      <c r="L375" s="1"/>
      <c r="M375" s="1"/>
      <c r="N375" s="1"/>
      <c r="O375" s="1"/>
    </row>
    <row r="376" spans="1:15" ht="15">
      <c r="A376" s="2"/>
      <c r="B376" s="2"/>
      <c r="C376" s="2"/>
      <c r="D376" s="8"/>
      <c r="E376" s="8"/>
      <c r="F376" s="8"/>
      <c r="G376" s="8"/>
      <c r="H376" s="2"/>
      <c r="I376" s="2"/>
      <c r="J376" s="2"/>
      <c r="K376" s="1"/>
      <c r="L376" s="1"/>
      <c r="M376" s="1"/>
      <c r="N376" s="1"/>
      <c r="O376" s="1"/>
    </row>
    <row r="377" spans="1:15" ht="15">
      <c r="A377" s="2"/>
      <c r="B377" s="2"/>
      <c r="C377" s="2"/>
      <c r="D377" s="8"/>
      <c r="E377" s="8"/>
      <c r="F377" s="8"/>
      <c r="G377" s="8"/>
      <c r="H377" s="2"/>
      <c r="I377" s="2"/>
      <c r="J377" s="2"/>
      <c r="K377" s="1"/>
      <c r="L377" s="1"/>
      <c r="M377" s="1"/>
      <c r="N377" s="1"/>
      <c r="O377" s="1"/>
    </row>
    <row r="378" spans="1:15" ht="15">
      <c r="A378" s="2"/>
      <c r="B378" s="2"/>
      <c r="C378" s="2"/>
      <c r="D378" s="8"/>
      <c r="E378" s="8"/>
      <c r="F378" s="8"/>
      <c r="G378" s="8"/>
      <c r="H378" s="2"/>
      <c r="I378" s="2"/>
      <c r="J378" s="2"/>
      <c r="K378" s="1"/>
      <c r="L378" s="1"/>
      <c r="M378" s="1"/>
      <c r="N378" s="1"/>
      <c r="O378" s="1"/>
    </row>
    <row r="379" spans="1:15" ht="15">
      <c r="A379" s="2"/>
      <c r="B379" s="2"/>
      <c r="C379" s="2"/>
      <c r="D379" s="8"/>
      <c r="E379" s="8"/>
      <c r="F379" s="8"/>
      <c r="G379" s="8"/>
      <c r="H379" s="2"/>
      <c r="I379" s="2"/>
      <c r="J379" s="2"/>
      <c r="K379" s="1"/>
      <c r="L379" s="1"/>
      <c r="M379" s="1"/>
      <c r="N379" s="1"/>
      <c r="O379" s="1"/>
    </row>
    <row r="380" spans="1:15" ht="15">
      <c r="A380" s="2"/>
      <c r="B380" s="2"/>
      <c r="C380" s="2"/>
      <c r="D380" s="8"/>
      <c r="E380" s="8"/>
      <c r="F380" s="8"/>
      <c r="G380" s="8"/>
      <c r="H380" s="2"/>
      <c r="I380" s="2"/>
      <c r="J380" s="2"/>
      <c r="K380" s="1"/>
      <c r="L380" s="1"/>
      <c r="M380" s="1"/>
      <c r="N380" s="1"/>
      <c r="O380" s="1"/>
    </row>
    <row r="381" spans="1:15" ht="15">
      <c r="A381" s="2"/>
      <c r="B381" s="2"/>
      <c r="C381" s="2"/>
      <c r="D381" s="8"/>
      <c r="E381" s="8"/>
      <c r="F381" s="8"/>
      <c r="G381" s="8"/>
      <c r="H381" s="2"/>
      <c r="I381" s="2"/>
      <c r="J381" s="2"/>
      <c r="K381" s="1"/>
      <c r="L381" s="1"/>
      <c r="M381" s="1"/>
      <c r="N381" s="1"/>
      <c r="O381" s="1"/>
    </row>
    <row r="382" spans="1:15" ht="15">
      <c r="A382" s="2"/>
      <c r="B382" s="2"/>
      <c r="C382" s="2"/>
      <c r="D382" s="8"/>
      <c r="E382" s="8"/>
      <c r="F382" s="8"/>
      <c r="G382" s="8"/>
      <c r="H382" s="2"/>
      <c r="I382" s="2"/>
      <c r="J382" s="2"/>
      <c r="K382" s="1"/>
      <c r="L382" s="1"/>
      <c r="M382" s="1"/>
      <c r="N382" s="1"/>
      <c r="O382" s="1"/>
    </row>
    <row r="383" spans="1:15" ht="15">
      <c r="A383" s="2"/>
      <c r="B383" s="2"/>
      <c r="C383" s="2"/>
      <c r="D383" s="8"/>
      <c r="E383" s="8"/>
      <c r="F383" s="8"/>
      <c r="G383" s="8"/>
      <c r="H383" s="2"/>
      <c r="I383" s="2"/>
      <c r="J383" s="2"/>
      <c r="K383" s="1"/>
      <c r="L383" s="1"/>
      <c r="M383" s="1"/>
      <c r="N383" s="1"/>
      <c r="O383" s="1"/>
    </row>
    <row r="384" spans="1:15" ht="15">
      <c r="A384" s="2"/>
      <c r="B384" s="2"/>
      <c r="C384" s="2"/>
      <c r="D384" s="8"/>
      <c r="E384" s="8"/>
      <c r="F384" s="8"/>
      <c r="G384" s="8"/>
      <c r="H384" s="2"/>
      <c r="I384" s="2"/>
      <c r="J384" s="2"/>
      <c r="K384" s="1"/>
      <c r="L384" s="1"/>
      <c r="M384" s="1"/>
      <c r="N384" s="1"/>
      <c r="O384" s="1"/>
    </row>
    <row r="385" spans="1:15" ht="15">
      <c r="A385" s="2"/>
      <c r="B385" s="2"/>
      <c r="C385" s="2"/>
      <c r="D385" s="8"/>
      <c r="E385" s="8"/>
      <c r="F385" s="8"/>
      <c r="G385" s="8"/>
      <c r="H385" s="2"/>
      <c r="I385" s="2"/>
      <c r="J385" s="2"/>
      <c r="K385" s="1"/>
      <c r="L385" s="1"/>
      <c r="M385" s="1"/>
      <c r="N385" s="1"/>
      <c r="O385" s="1"/>
    </row>
    <row r="386" spans="1:15" ht="15">
      <c r="A386" s="2"/>
      <c r="B386" s="2"/>
      <c r="C386" s="2"/>
      <c r="D386" s="8"/>
      <c r="E386" s="8"/>
      <c r="F386" s="8"/>
      <c r="G386" s="8"/>
      <c r="H386" s="2"/>
      <c r="I386" s="2"/>
      <c r="J386" s="2"/>
      <c r="K386" s="1"/>
      <c r="L386" s="1"/>
      <c r="M386" s="1"/>
      <c r="N386" s="1"/>
      <c r="O386" s="1"/>
    </row>
    <row r="387" spans="1:15" ht="15">
      <c r="A387" s="2"/>
      <c r="B387" s="2"/>
      <c r="C387" s="2"/>
      <c r="D387" s="8"/>
      <c r="E387" s="8"/>
      <c r="F387" s="8"/>
      <c r="G387" s="8"/>
      <c r="H387" s="2"/>
      <c r="I387" s="2"/>
      <c r="J387" s="2"/>
      <c r="K387" s="1"/>
      <c r="L387" s="1"/>
      <c r="M387" s="1"/>
      <c r="N387" s="1"/>
      <c r="O387" s="1"/>
    </row>
    <row r="388" spans="1:15" ht="15">
      <c r="A388" s="2"/>
      <c r="B388" s="2"/>
      <c r="C388" s="2"/>
      <c r="D388" s="8"/>
      <c r="E388" s="8"/>
      <c r="F388" s="8"/>
      <c r="G388" s="8"/>
      <c r="H388" s="2"/>
      <c r="I388" s="2"/>
      <c r="J388" s="2"/>
      <c r="K388" s="1"/>
      <c r="L388" s="1"/>
      <c r="M388" s="1"/>
      <c r="N388" s="1"/>
      <c r="O388" s="1"/>
    </row>
    <row r="389" spans="1:15" ht="15">
      <c r="A389" s="2"/>
      <c r="B389" s="2"/>
      <c r="C389" s="2"/>
      <c r="D389" s="8"/>
      <c r="E389" s="8"/>
      <c r="F389" s="8"/>
      <c r="G389" s="8"/>
      <c r="H389" s="2"/>
      <c r="I389" s="2"/>
      <c r="J389" s="2"/>
      <c r="K389" s="1"/>
      <c r="L389" s="1"/>
      <c r="M389" s="1"/>
      <c r="N389" s="1"/>
      <c r="O389" s="1"/>
    </row>
    <row r="390" spans="1:15" ht="15">
      <c r="A390" s="2"/>
      <c r="B390" s="2"/>
      <c r="C390" s="2"/>
      <c r="D390" s="8"/>
      <c r="E390" s="8"/>
      <c r="F390" s="8"/>
      <c r="G390" s="8"/>
      <c r="H390" s="2"/>
      <c r="I390" s="2"/>
      <c r="J390" s="2"/>
      <c r="K390" s="1"/>
      <c r="L390" s="1"/>
      <c r="M390" s="1"/>
      <c r="N390" s="1"/>
      <c r="O390" s="1"/>
    </row>
    <row r="391" spans="1:15" ht="15">
      <c r="A391" s="2"/>
      <c r="B391" s="2"/>
      <c r="C391" s="2"/>
      <c r="D391" s="8"/>
      <c r="E391" s="8"/>
      <c r="F391" s="8"/>
      <c r="G391" s="8"/>
      <c r="H391" s="2"/>
      <c r="I391" s="2"/>
      <c r="J391" s="2"/>
      <c r="K391" s="1"/>
      <c r="L391" s="1"/>
      <c r="M391" s="1"/>
      <c r="N391" s="1"/>
      <c r="O391" s="1"/>
    </row>
    <row r="392" spans="1:15" ht="15">
      <c r="A392" s="2"/>
      <c r="B392" s="2"/>
      <c r="C392" s="2"/>
      <c r="D392" s="8"/>
      <c r="E392" s="8"/>
      <c r="F392" s="8"/>
      <c r="G392" s="8"/>
      <c r="H392" s="2"/>
      <c r="I392" s="2"/>
      <c r="J392" s="2"/>
      <c r="K392" s="1"/>
      <c r="L392" s="1"/>
      <c r="M392" s="1"/>
      <c r="N392" s="1"/>
      <c r="O392" s="1"/>
    </row>
    <row r="393" spans="1:15" ht="15">
      <c r="A393" s="2"/>
      <c r="B393" s="2"/>
      <c r="C393" s="2"/>
      <c r="D393" s="8"/>
      <c r="E393" s="8"/>
      <c r="F393" s="8"/>
      <c r="G393" s="8"/>
      <c r="H393" s="2"/>
      <c r="I393" s="2"/>
      <c r="J393" s="2"/>
      <c r="K393" s="1"/>
      <c r="L393" s="1"/>
      <c r="M393" s="1"/>
      <c r="N393" s="1"/>
      <c r="O393" s="1"/>
    </row>
    <row r="394" spans="1:15" ht="15">
      <c r="A394" s="2"/>
      <c r="B394" s="2"/>
      <c r="C394" s="2"/>
      <c r="D394" s="8"/>
      <c r="E394" s="8"/>
      <c r="F394" s="8"/>
      <c r="G394" s="8"/>
      <c r="H394" s="2"/>
      <c r="I394" s="2"/>
      <c r="J394" s="2"/>
      <c r="K394" s="1"/>
      <c r="L394" s="1"/>
      <c r="M394" s="1"/>
      <c r="N394" s="1"/>
      <c r="O394" s="1"/>
    </row>
    <row r="395" spans="1:15" ht="15">
      <c r="A395" s="2"/>
      <c r="B395" s="2"/>
      <c r="C395" s="2"/>
      <c r="D395" s="8"/>
      <c r="E395" s="8"/>
      <c r="F395" s="8"/>
      <c r="G395" s="8"/>
      <c r="H395" s="2"/>
      <c r="I395" s="2"/>
      <c r="J395" s="2"/>
      <c r="K395" s="1"/>
      <c r="L395" s="1"/>
      <c r="M395" s="1"/>
      <c r="N395" s="1"/>
      <c r="O395" s="1"/>
    </row>
    <row r="396" spans="1:15" ht="15">
      <c r="A396" s="2"/>
      <c r="B396" s="2"/>
      <c r="C396" s="2"/>
      <c r="D396" s="8"/>
      <c r="E396" s="8"/>
      <c r="F396" s="8"/>
      <c r="G396" s="8"/>
      <c r="H396" s="2"/>
      <c r="I396" s="2"/>
      <c r="J396" s="2"/>
      <c r="K396" s="1"/>
      <c r="L396" s="1"/>
      <c r="M396" s="1"/>
      <c r="N396" s="1"/>
      <c r="O396" s="1"/>
    </row>
    <row r="397" spans="1:15" ht="15">
      <c r="A397" s="2"/>
      <c r="B397" s="2"/>
      <c r="C397" s="2"/>
      <c r="D397" s="8"/>
      <c r="E397" s="8"/>
      <c r="F397" s="8"/>
      <c r="G397" s="8"/>
      <c r="H397" s="2"/>
      <c r="I397" s="2"/>
      <c r="J397" s="2"/>
      <c r="K397" s="1"/>
      <c r="L397" s="1"/>
      <c r="M397" s="1"/>
      <c r="N397" s="1"/>
      <c r="O397" s="1"/>
    </row>
    <row r="398" spans="1:15" ht="15">
      <c r="A398" s="2"/>
      <c r="B398" s="2"/>
      <c r="C398" s="2"/>
      <c r="D398" s="8"/>
      <c r="E398" s="8"/>
      <c r="F398" s="8"/>
      <c r="G398" s="8"/>
      <c r="H398" s="2"/>
      <c r="I398" s="2"/>
      <c r="J398" s="2"/>
      <c r="K398" s="1"/>
      <c r="L398" s="1"/>
      <c r="M398" s="1"/>
      <c r="N398" s="1"/>
      <c r="O398" s="1"/>
    </row>
    <row r="399" spans="1:15" ht="15">
      <c r="A399" s="2"/>
      <c r="B399" s="2"/>
      <c r="C399" s="2"/>
      <c r="D399" s="8"/>
      <c r="E399" s="8"/>
      <c r="F399" s="8"/>
      <c r="G399" s="8"/>
      <c r="H399" s="2"/>
      <c r="I399" s="2"/>
      <c r="J399" s="2"/>
      <c r="K399" s="1"/>
      <c r="L399" s="1"/>
      <c r="M399" s="1"/>
      <c r="N399" s="1"/>
      <c r="O399" s="1"/>
    </row>
    <row r="400" spans="1:15" ht="15">
      <c r="A400" s="2"/>
      <c r="B400" s="2"/>
      <c r="C400" s="2"/>
      <c r="D400" s="8"/>
      <c r="E400" s="8"/>
      <c r="F400" s="8"/>
      <c r="G400" s="8"/>
      <c r="H400" s="2"/>
      <c r="I400" s="2"/>
      <c r="J400" s="2"/>
      <c r="K400" s="1"/>
      <c r="L400" s="1"/>
      <c r="M400" s="1"/>
      <c r="N400" s="1"/>
      <c r="O400" s="1"/>
    </row>
    <row r="401" spans="1:15" ht="15">
      <c r="A401" s="2"/>
      <c r="B401" s="2"/>
      <c r="C401" s="2"/>
      <c r="D401" s="8"/>
      <c r="E401" s="8"/>
      <c r="F401" s="8"/>
      <c r="G401" s="8"/>
      <c r="H401" s="2"/>
      <c r="I401" s="2"/>
      <c r="J401" s="2"/>
      <c r="K401" s="1"/>
      <c r="L401" s="1"/>
      <c r="M401" s="1"/>
      <c r="N401" s="1"/>
      <c r="O401" s="1"/>
    </row>
    <row r="402" spans="1:15" ht="15">
      <c r="A402" s="2"/>
      <c r="B402" s="2"/>
      <c r="C402" s="2"/>
      <c r="D402" s="8"/>
      <c r="E402" s="8"/>
      <c r="F402" s="8"/>
      <c r="G402" s="8"/>
      <c r="H402" s="2"/>
      <c r="I402" s="2"/>
      <c r="J402" s="2"/>
      <c r="K402" s="1"/>
      <c r="L402" s="1"/>
      <c r="M402" s="1"/>
      <c r="N402" s="1"/>
      <c r="O402" s="1"/>
    </row>
    <row r="403" spans="1:15" ht="15">
      <c r="A403" s="2"/>
      <c r="B403" s="2"/>
      <c r="C403" s="2"/>
      <c r="D403" s="8"/>
      <c r="E403" s="8"/>
      <c r="F403" s="8"/>
      <c r="G403" s="8"/>
      <c r="H403" s="2"/>
      <c r="I403" s="2"/>
      <c r="J403" s="2"/>
      <c r="K403" s="1"/>
      <c r="L403" s="1"/>
      <c r="M403" s="1"/>
      <c r="N403" s="1"/>
      <c r="O403" s="1"/>
    </row>
    <row r="404" spans="1:15" ht="15">
      <c r="A404" s="2"/>
      <c r="B404" s="2"/>
      <c r="C404" s="2"/>
      <c r="D404" s="8"/>
      <c r="E404" s="8"/>
      <c r="F404" s="8"/>
      <c r="G404" s="8"/>
      <c r="H404" s="2"/>
      <c r="I404" s="2"/>
      <c r="J404" s="2"/>
      <c r="K404" s="1"/>
      <c r="L404" s="1"/>
      <c r="M404" s="1"/>
      <c r="N404" s="1"/>
      <c r="O404" s="1"/>
    </row>
    <row r="405" spans="1:15" ht="15">
      <c r="A405" s="2"/>
      <c r="B405" s="2"/>
      <c r="C405" s="2"/>
      <c r="D405" s="8"/>
      <c r="E405" s="8"/>
      <c r="F405" s="8"/>
      <c r="G405" s="8"/>
      <c r="H405" s="2"/>
      <c r="I405" s="2"/>
      <c r="J405" s="2"/>
      <c r="K405" s="1"/>
      <c r="L405" s="1"/>
      <c r="M405" s="1"/>
      <c r="N405" s="1"/>
      <c r="O405" s="1"/>
    </row>
    <row r="406" spans="1:15" ht="15">
      <c r="A406" s="2"/>
      <c r="B406" s="2"/>
      <c r="C406" s="2"/>
      <c r="D406" s="8"/>
      <c r="E406" s="8"/>
      <c r="F406" s="8"/>
      <c r="G406" s="8"/>
      <c r="H406" s="2"/>
      <c r="I406" s="2"/>
      <c r="J406" s="2"/>
      <c r="K406" s="1"/>
      <c r="L406" s="1"/>
      <c r="M406" s="1"/>
      <c r="N406" s="1"/>
      <c r="O406" s="1"/>
    </row>
    <row r="407" spans="1:15" ht="15">
      <c r="A407" s="2"/>
      <c r="B407" s="2"/>
      <c r="C407" s="2"/>
      <c r="D407" s="8"/>
      <c r="E407" s="8"/>
      <c r="F407" s="8"/>
      <c r="G407" s="8"/>
      <c r="H407" s="2"/>
      <c r="I407" s="2"/>
      <c r="J407" s="2"/>
      <c r="K407" s="1"/>
      <c r="L407" s="1"/>
      <c r="M407" s="1"/>
      <c r="N407" s="1"/>
      <c r="O407" s="1"/>
    </row>
    <row r="408" spans="1:15" ht="15">
      <c r="A408" s="2"/>
      <c r="B408" s="2"/>
      <c r="C408" s="2"/>
      <c r="D408" s="8"/>
      <c r="E408" s="8"/>
      <c r="F408" s="8"/>
      <c r="G408" s="8"/>
      <c r="H408" s="2"/>
      <c r="I408" s="2"/>
      <c r="J408" s="2"/>
      <c r="K408" s="1"/>
      <c r="L408" s="1"/>
      <c r="M408" s="1"/>
      <c r="N408" s="1"/>
      <c r="O408" s="1"/>
    </row>
    <row r="409" spans="1:15" ht="15">
      <c r="A409" s="2"/>
      <c r="B409" s="2"/>
      <c r="C409" s="2"/>
      <c r="D409" s="8"/>
      <c r="E409" s="8"/>
      <c r="F409" s="8"/>
      <c r="G409" s="8"/>
      <c r="H409" s="2"/>
      <c r="I409" s="2"/>
      <c r="J409" s="2"/>
      <c r="K409" s="1"/>
      <c r="L409" s="1"/>
      <c r="M409" s="1"/>
      <c r="N409" s="1"/>
      <c r="O409" s="1"/>
    </row>
    <row r="410" spans="1:15" ht="15">
      <c r="A410" s="2"/>
      <c r="B410" s="2"/>
      <c r="C410" s="2"/>
      <c r="D410" s="8"/>
      <c r="E410" s="8"/>
      <c r="F410" s="8"/>
      <c r="G410" s="8"/>
      <c r="H410" s="2"/>
      <c r="I410" s="2"/>
      <c r="J410" s="2"/>
      <c r="K410" s="1"/>
      <c r="L410" s="1"/>
      <c r="M410" s="1"/>
      <c r="N410" s="1"/>
      <c r="O410" s="1"/>
    </row>
    <row r="411" spans="1:15" ht="15">
      <c r="A411" s="2"/>
      <c r="B411" s="2"/>
      <c r="C411" s="2"/>
      <c r="D411" s="8"/>
      <c r="E411" s="8"/>
      <c r="F411" s="8"/>
      <c r="G411" s="8"/>
      <c r="H411" s="2"/>
      <c r="I411" s="2"/>
      <c r="J411" s="2"/>
      <c r="K411" s="1"/>
      <c r="L411" s="1"/>
      <c r="M411" s="1"/>
      <c r="N411" s="1"/>
      <c r="O411" s="1"/>
    </row>
    <row r="412" spans="1:15" ht="15">
      <c r="A412" s="2"/>
      <c r="B412" s="2"/>
      <c r="C412" s="2"/>
      <c r="D412" s="8"/>
      <c r="E412" s="8"/>
      <c r="F412" s="8"/>
      <c r="G412" s="8"/>
      <c r="H412" s="2"/>
      <c r="I412" s="2"/>
      <c r="J412" s="2"/>
      <c r="K412" s="1"/>
      <c r="L412" s="1"/>
      <c r="M412" s="1"/>
      <c r="N412" s="1"/>
      <c r="O412" s="1"/>
    </row>
    <row r="413" spans="1:15" ht="15">
      <c r="A413" s="2"/>
      <c r="B413" s="2"/>
      <c r="C413" s="2"/>
      <c r="D413" s="8"/>
      <c r="E413" s="8"/>
      <c r="F413" s="8"/>
      <c r="G413" s="8"/>
      <c r="H413" s="2"/>
      <c r="I413" s="2"/>
      <c r="J413" s="2"/>
      <c r="K413" s="1"/>
      <c r="L413" s="1"/>
      <c r="M413" s="1"/>
      <c r="N413" s="1"/>
      <c r="O413" s="1"/>
    </row>
    <row r="414" spans="1:15" ht="15">
      <c r="A414" s="2"/>
      <c r="B414" s="2"/>
      <c r="C414" s="2"/>
      <c r="D414" s="8"/>
      <c r="E414" s="8"/>
      <c r="F414" s="8"/>
      <c r="G414" s="8"/>
      <c r="H414" s="2"/>
      <c r="I414" s="2"/>
      <c r="J414" s="2"/>
      <c r="K414" s="1"/>
      <c r="L414" s="1"/>
      <c r="M414" s="1"/>
      <c r="N414" s="1"/>
      <c r="O414" s="1"/>
    </row>
    <row r="415" spans="1:15" ht="15">
      <c r="A415" s="2"/>
      <c r="B415" s="2"/>
      <c r="C415" s="2"/>
      <c r="D415" s="8"/>
      <c r="E415" s="8"/>
      <c r="F415" s="8"/>
      <c r="G415" s="8"/>
      <c r="H415" s="2"/>
      <c r="I415" s="2"/>
      <c r="J415" s="2"/>
      <c r="K415" s="1"/>
      <c r="L415" s="1"/>
      <c r="M415" s="1"/>
      <c r="N415" s="1"/>
      <c r="O415" s="1"/>
    </row>
    <row r="416" spans="1:15" ht="15">
      <c r="A416" s="2"/>
      <c r="B416" s="2"/>
      <c r="C416" s="2"/>
      <c r="D416" s="8"/>
      <c r="E416" s="8"/>
      <c r="F416" s="8"/>
      <c r="G416" s="8"/>
      <c r="H416" s="2"/>
      <c r="I416" s="2"/>
      <c r="J416" s="2"/>
      <c r="K416" s="1"/>
      <c r="L416" s="1"/>
      <c r="M416" s="1"/>
      <c r="N416" s="1"/>
      <c r="O416" s="1"/>
    </row>
    <row r="417" spans="1:15" ht="15">
      <c r="A417" s="2"/>
      <c r="B417" s="2"/>
      <c r="C417" s="2"/>
      <c r="D417" s="8"/>
      <c r="E417" s="8"/>
      <c r="F417" s="8"/>
      <c r="G417" s="8"/>
      <c r="H417" s="2"/>
      <c r="I417" s="2"/>
      <c r="J417" s="2"/>
      <c r="K417" s="1"/>
      <c r="L417" s="1"/>
      <c r="M417" s="1"/>
      <c r="N417" s="1"/>
      <c r="O417" s="1"/>
    </row>
    <row r="418" spans="1:15" ht="15">
      <c r="A418" s="2"/>
      <c r="B418" s="2"/>
      <c r="C418" s="2"/>
      <c r="D418" s="8"/>
      <c r="E418" s="8"/>
      <c r="F418" s="8"/>
      <c r="G418" s="8"/>
      <c r="H418" s="2"/>
      <c r="I418" s="2"/>
      <c r="J418" s="2"/>
      <c r="K418" s="1"/>
      <c r="L418" s="1"/>
      <c r="M418" s="1"/>
      <c r="N418" s="1"/>
      <c r="O418" s="1"/>
    </row>
    <row r="419" spans="1:15" ht="15">
      <c r="A419" s="2"/>
      <c r="B419" s="2"/>
      <c r="C419" s="2"/>
      <c r="D419" s="8"/>
      <c r="E419" s="8"/>
      <c r="F419" s="8"/>
      <c r="G419" s="8"/>
      <c r="H419" s="2"/>
      <c r="I419" s="2"/>
      <c r="J419" s="2"/>
      <c r="K419" s="1"/>
      <c r="L419" s="1"/>
      <c r="M419" s="1"/>
      <c r="N419" s="1"/>
      <c r="O419" s="1"/>
    </row>
    <row r="420" spans="1:15" ht="15">
      <c r="A420" s="2"/>
      <c r="B420" s="2"/>
      <c r="C420" s="2"/>
      <c r="D420" s="8"/>
      <c r="E420" s="8"/>
      <c r="F420" s="8"/>
      <c r="G420" s="8"/>
      <c r="H420" s="2"/>
      <c r="I420" s="2"/>
      <c r="J420" s="2"/>
      <c r="K420" s="1"/>
      <c r="L420" s="1"/>
      <c r="M420" s="1"/>
      <c r="N420" s="1"/>
      <c r="O420" s="1"/>
    </row>
    <row r="421" spans="1:15" ht="15">
      <c r="A421" s="2"/>
      <c r="B421" s="2"/>
      <c r="C421" s="2"/>
      <c r="D421" s="8"/>
      <c r="E421" s="8"/>
      <c r="F421" s="8"/>
      <c r="G421" s="8"/>
      <c r="H421" s="2"/>
      <c r="I421" s="2"/>
      <c r="J421" s="2"/>
      <c r="K421" s="1"/>
      <c r="L421" s="1"/>
      <c r="M421" s="1"/>
      <c r="N421" s="1"/>
      <c r="O421" s="1"/>
    </row>
    <row r="422" spans="1:15" ht="15">
      <c r="A422" s="2"/>
      <c r="B422" s="2"/>
      <c r="C422" s="2"/>
      <c r="D422" s="8"/>
      <c r="E422" s="8"/>
      <c r="F422" s="8"/>
      <c r="G422" s="8"/>
      <c r="H422" s="2"/>
      <c r="I422" s="2"/>
      <c r="J422" s="2"/>
      <c r="K422" s="1"/>
      <c r="L422" s="1"/>
      <c r="M422" s="1"/>
      <c r="N422" s="1"/>
      <c r="O422" s="1"/>
    </row>
    <row r="423" spans="1:15" ht="15">
      <c r="A423" s="2"/>
      <c r="B423" s="2"/>
      <c r="C423" s="2"/>
      <c r="D423" s="8"/>
      <c r="E423" s="8"/>
      <c r="F423" s="8"/>
      <c r="G423" s="8"/>
      <c r="H423" s="2"/>
      <c r="I423" s="2"/>
      <c r="J423" s="2"/>
      <c r="K423" s="1"/>
      <c r="L423" s="1"/>
      <c r="M423" s="1"/>
      <c r="N423" s="1"/>
      <c r="O423" s="1"/>
    </row>
    <row r="424" spans="1:15" ht="15">
      <c r="A424" s="2"/>
      <c r="B424" s="2"/>
      <c r="C424" s="2"/>
      <c r="D424" s="8"/>
      <c r="E424" s="8"/>
      <c r="F424" s="8"/>
      <c r="G424" s="8"/>
      <c r="H424" s="2"/>
      <c r="I424" s="2"/>
      <c r="J424" s="2"/>
      <c r="K424" s="1"/>
      <c r="L424" s="1"/>
      <c r="M424" s="1"/>
      <c r="N424" s="1"/>
      <c r="O424" s="1"/>
    </row>
    <row r="425" spans="1:15" ht="15">
      <c r="A425" s="2"/>
      <c r="B425" s="2"/>
      <c r="C425" s="2"/>
      <c r="D425" s="8"/>
      <c r="E425" s="8"/>
      <c r="F425" s="8"/>
      <c r="G425" s="8"/>
      <c r="H425" s="2"/>
      <c r="I425" s="2"/>
      <c r="J425" s="2"/>
      <c r="K425" s="1"/>
      <c r="L425" s="1"/>
      <c r="M425" s="1"/>
      <c r="N425" s="1"/>
      <c r="O425" s="1"/>
    </row>
    <row r="426" spans="1:15" ht="15">
      <c r="A426" s="2"/>
      <c r="B426" s="2"/>
      <c r="C426" s="2"/>
      <c r="D426" s="8"/>
      <c r="E426" s="8"/>
      <c r="F426" s="8"/>
      <c r="G426" s="8"/>
      <c r="H426" s="2"/>
      <c r="I426" s="2"/>
      <c r="J426" s="2"/>
      <c r="K426" s="1"/>
      <c r="L426" s="1"/>
      <c r="M426" s="1"/>
      <c r="N426" s="1"/>
      <c r="O426" s="1"/>
    </row>
    <row r="427" spans="1:15" ht="15">
      <c r="A427" s="2"/>
      <c r="B427" s="2"/>
      <c r="C427" s="2"/>
      <c r="D427" s="8"/>
      <c r="E427" s="8"/>
      <c r="F427" s="8"/>
      <c r="G427" s="8"/>
      <c r="H427" s="2"/>
      <c r="I427" s="2"/>
      <c r="J427" s="2"/>
      <c r="K427" s="1"/>
      <c r="L427" s="1"/>
      <c r="M427" s="1"/>
      <c r="N427" s="1"/>
      <c r="O427" s="1"/>
    </row>
    <row r="428" spans="1:15" ht="15">
      <c r="A428" s="2"/>
      <c r="B428" s="2"/>
      <c r="C428" s="2"/>
      <c r="D428" s="8"/>
      <c r="E428" s="8"/>
      <c r="F428" s="8"/>
      <c r="G428" s="8"/>
      <c r="H428" s="2"/>
      <c r="I428" s="2"/>
      <c r="J428" s="2"/>
      <c r="K428" s="1"/>
      <c r="L428" s="1"/>
      <c r="M428" s="1"/>
      <c r="N428" s="1"/>
      <c r="O428" s="1"/>
    </row>
    <row r="429" spans="1:15" ht="15">
      <c r="A429" s="2"/>
      <c r="B429" s="2"/>
      <c r="C429" s="2"/>
      <c r="D429" s="8"/>
      <c r="E429" s="8"/>
      <c r="F429" s="8"/>
      <c r="G429" s="8"/>
      <c r="H429" s="2"/>
      <c r="I429" s="2"/>
      <c r="J429" s="2"/>
      <c r="K429" s="1"/>
      <c r="L429" s="1"/>
      <c r="M429" s="1"/>
      <c r="N429" s="1"/>
      <c r="O429" s="1"/>
    </row>
    <row r="430" spans="1:15" ht="15">
      <c r="A430" s="2"/>
      <c r="B430" s="2"/>
      <c r="C430" s="2"/>
      <c r="D430" s="8"/>
      <c r="E430" s="8"/>
      <c r="F430" s="8"/>
      <c r="G430" s="8"/>
      <c r="H430" s="2"/>
      <c r="I430" s="2"/>
      <c r="J430" s="2"/>
      <c r="K430" s="1"/>
      <c r="L430" s="1"/>
      <c r="M430" s="1"/>
      <c r="N430" s="1"/>
      <c r="O430" s="1"/>
    </row>
    <row r="431" spans="1:15" ht="15">
      <c r="A431" s="2"/>
      <c r="B431" s="2"/>
      <c r="C431" s="2"/>
      <c r="D431" s="8"/>
      <c r="E431" s="8"/>
      <c r="F431" s="8"/>
      <c r="G431" s="8"/>
      <c r="H431" s="2"/>
      <c r="I431" s="2"/>
      <c r="J431" s="2"/>
      <c r="K431" s="1"/>
      <c r="L431" s="1"/>
      <c r="M431" s="1"/>
      <c r="N431" s="1"/>
      <c r="O431" s="1"/>
    </row>
    <row r="432" spans="1:15" ht="15">
      <c r="A432" s="2"/>
      <c r="B432" s="2"/>
      <c r="C432" s="2"/>
      <c r="D432" s="8"/>
      <c r="E432" s="8"/>
      <c r="F432" s="8"/>
      <c r="G432" s="8"/>
      <c r="H432" s="2"/>
      <c r="I432" s="2"/>
      <c r="J432" s="2"/>
      <c r="K432" s="1"/>
      <c r="L432" s="1"/>
      <c r="M432" s="1"/>
      <c r="N432" s="1"/>
      <c r="O432" s="1"/>
    </row>
    <row r="433" spans="1:15" ht="15">
      <c r="A433" s="2"/>
      <c r="B433" s="2"/>
      <c r="C433" s="2"/>
      <c r="D433" s="8"/>
      <c r="E433" s="8"/>
      <c r="F433" s="8"/>
      <c r="G433" s="8"/>
      <c r="H433" s="2"/>
      <c r="I433" s="2"/>
      <c r="J433" s="2"/>
      <c r="K433" s="1"/>
      <c r="L433" s="1"/>
      <c r="M433" s="1"/>
      <c r="N433" s="1"/>
      <c r="O433" s="1"/>
    </row>
    <row r="434" spans="1:15" ht="15">
      <c r="A434" s="2"/>
      <c r="B434" s="2"/>
      <c r="C434" s="2"/>
      <c r="D434" s="8"/>
      <c r="E434" s="8"/>
      <c r="F434" s="8"/>
      <c r="G434" s="8"/>
      <c r="H434" s="2"/>
      <c r="I434" s="2"/>
      <c r="J434" s="2"/>
      <c r="K434" s="1"/>
      <c r="L434" s="1"/>
      <c r="M434" s="1"/>
      <c r="N434" s="1"/>
      <c r="O434" s="1"/>
    </row>
    <row r="435" spans="1:15" ht="15">
      <c r="A435" s="2"/>
      <c r="B435" s="2"/>
      <c r="C435" s="2"/>
      <c r="D435" s="8"/>
      <c r="E435" s="8"/>
      <c r="F435" s="8"/>
      <c r="G435" s="8"/>
      <c r="H435" s="2"/>
      <c r="I435" s="2"/>
      <c r="J435" s="2"/>
      <c r="K435" s="1"/>
      <c r="L435" s="1"/>
      <c r="M435" s="1"/>
      <c r="N435" s="1"/>
      <c r="O435" s="1"/>
    </row>
    <row r="436" spans="1:15" ht="15">
      <c r="A436" s="2"/>
      <c r="B436" s="2"/>
      <c r="C436" s="2"/>
      <c r="D436" s="8"/>
      <c r="E436" s="8"/>
      <c r="F436" s="8"/>
      <c r="G436" s="8"/>
      <c r="H436" s="2"/>
      <c r="I436" s="2"/>
      <c r="J436" s="2"/>
      <c r="K436" s="1"/>
      <c r="L436" s="1"/>
      <c r="M436" s="1"/>
      <c r="N436" s="1"/>
      <c r="O436" s="1"/>
    </row>
    <row r="437" spans="1:15" ht="15">
      <c r="A437" s="2"/>
      <c r="B437" s="2"/>
      <c r="C437" s="2"/>
      <c r="D437" s="8"/>
      <c r="E437" s="8"/>
      <c r="F437" s="8"/>
      <c r="G437" s="8"/>
      <c r="H437" s="2"/>
      <c r="I437" s="2"/>
      <c r="J437" s="2"/>
      <c r="K437" s="1"/>
      <c r="L437" s="1"/>
      <c r="M437" s="1"/>
      <c r="N437" s="1"/>
      <c r="O437" s="1"/>
    </row>
    <row r="438" spans="1:15" ht="15">
      <c r="A438" s="2"/>
      <c r="B438" s="2"/>
      <c r="C438" s="2"/>
      <c r="D438" s="8"/>
      <c r="E438" s="8"/>
      <c r="F438" s="8"/>
      <c r="G438" s="8"/>
      <c r="H438" s="2"/>
      <c r="I438" s="2"/>
      <c r="J438" s="2"/>
      <c r="K438" s="1"/>
      <c r="L438" s="1"/>
      <c r="M438" s="1"/>
      <c r="N438" s="1"/>
      <c r="O438" s="1"/>
    </row>
    <row r="439" spans="1:15" ht="15">
      <c r="A439" s="2"/>
      <c r="B439" s="2"/>
      <c r="C439" s="2"/>
      <c r="D439" s="8"/>
      <c r="E439" s="8"/>
      <c r="F439" s="8"/>
      <c r="G439" s="8"/>
      <c r="H439" s="2"/>
      <c r="I439" s="2"/>
      <c r="J439" s="2"/>
      <c r="K439" s="1"/>
      <c r="L439" s="1"/>
      <c r="M439" s="1"/>
      <c r="N439" s="1"/>
      <c r="O439" s="1"/>
    </row>
    <row r="440" spans="1:15" ht="15">
      <c r="A440" s="2"/>
      <c r="B440" s="2"/>
      <c r="C440" s="2"/>
      <c r="D440" s="8"/>
      <c r="E440" s="8"/>
      <c r="F440" s="8"/>
      <c r="G440" s="8"/>
      <c r="H440" s="2"/>
      <c r="I440" s="2"/>
      <c r="J440" s="2"/>
      <c r="K440" s="1"/>
      <c r="L440" s="1"/>
      <c r="M440" s="1"/>
      <c r="N440" s="1"/>
      <c r="O440" s="1"/>
    </row>
    <row r="441" spans="1:15" ht="15">
      <c r="A441" s="2"/>
      <c r="B441" s="2"/>
      <c r="C441" s="2"/>
      <c r="D441" s="8"/>
      <c r="E441" s="8"/>
      <c r="F441" s="8"/>
      <c r="G441" s="8"/>
      <c r="H441" s="2"/>
      <c r="I441" s="2"/>
      <c r="J441" s="2"/>
      <c r="K441" s="1"/>
      <c r="L441" s="1"/>
      <c r="M441" s="1"/>
      <c r="N441" s="1"/>
      <c r="O441" s="1"/>
    </row>
    <row r="442" spans="1:15" ht="15">
      <c r="A442" s="2"/>
      <c r="B442" s="2"/>
      <c r="C442" s="2"/>
      <c r="D442" s="8"/>
      <c r="E442" s="8"/>
      <c r="F442" s="8"/>
      <c r="G442" s="8"/>
      <c r="H442" s="2"/>
      <c r="I442" s="2"/>
      <c r="J442" s="2"/>
      <c r="K442" s="1"/>
      <c r="L442" s="1"/>
      <c r="M442" s="1"/>
      <c r="N442" s="1"/>
      <c r="O442" s="1"/>
    </row>
    <row r="443" spans="1:15" ht="15">
      <c r="A443" s="2"/>
      <c r="B443" s="2"/>
      <c r="C443" s="2"/>
      <c r="D443" s="8"/>
      <c r="E443" s="8"/>
      <c r="F443" s="8"/>
      <c r="G443" s="8"/>
      <c r="H443" s="2"/>
      <c r="I443" s="2"/>
      <c r="J443" s="2"/>
      <c r="K443" s="1"/>
      <c r="L443" s="1"/>
      <c r="M443" s="1"/>
      <c r="N443" s="1"/>
      <c r="O443" s="1"/>
    </row>
    <row r="444" spans="1:15" ht="15">
      <c r="A444" s="2"/>
      <c r="B444" s="2"/>
      <c r="C444" s="2"/>
      <c r="D444" s="8"/>
      <c r="E444" s="8"/>
      <c r="F444" s="8"/>
      <c r="G444" s="8"/>
      <c r="H444" s="2"/>
      <c r="I444" s="2"/>
      <c r="J444" s="2"/>
      <c r="K444" s="1"/>
      <c r="L444" s="1"/>
      <c r="M444" s="1"/>
      <c r="N444" s="1"/>
      <c r="O444" s="1"/>
    </row>
    <row r="445" spans="1:15" ht="15">
      <c r="A445" s="2"/>
      <c r="B445" s="2"/>
      <c r="C445" s="2"/>
      <c r="D445" s="8"/>
      <c r="E445" s="8"/>
      <c r="F445" s="8"/>
      <c r="G445" s="8"/>
      <c r="H445" s="2"/>
      <c r="I445" s="2"/>
      <c r="J445" s="2"/>
      <c r="K445" s="1"/>
      <c r="L445" s="1"/>
      <c r="M445" s="1"/>
      <c r="N445" s="1"/>
      <c r="O445" s="1"/>
    </row>
    <row r="446" spans="1:15" ht="15">
      <c r="A446" s="2"/>
      <c r="B446" s="2"/>
      <c r="C446" s="2"/>
      <c r="D446" s="8"/>
      <c r="E446" s="8"/>
      <c r="F446" s="8"/>
      <c r="G446" s="8"/>
      <c r="H446" s="2"/>
      <c r="I446" s="2"/>
      <c r="J446" s="2"/>
      <c r="K446" s="1"/>
      <c r="L446" s="1"/>
      <c r="M446" s="1"/>
      <c r="N446" s="1"/>
      <c r="O446" s="1"/>
    </row>
    <row r="447" spans="1:15" ht="15">
      <c r="A447" s="2"/>
      <c r="B447" s="2"/>
      <c r="C447" s="2"/>
      <c r="D447" s="8"/>
      <c r="E447" s="8"/>
      <c r="F447" s="8"/>
      <c r="G447" s="8"/>
      <c r="H447" s="2"/>
      <c r="I447" s="2"/>
      <c r="J447" s="2"/>
      <c r="K447" s="1"/>
      <c r="L447" s="1"/>
      <c r="M447" s="1"/>
      <c r="N447" s="1"/>
      <c r="O447" s="1"/>
    </row>
    <row r="448" spans="1:15" ht="15">
      <c r="A448" s="2"/>
      <c r="B448" s="2"/>
      <c r="C448" s="2"/>
      <c r="D448" s="8"/>
      <c r="E448" s="8"/>
      <c r="F448" s="8"/>
      <c r="G448" s="8"/>
      <c r="H448" s="2"/>
      <c r="I448" s="2"/>
      <c r="J448" s="2"/>
      <c r="K448" s="1"/>
      <c r="L448" s="1"/>
      <c r="M448" s="1"/>
      <c r="N448" s="1"/>
      <c r="O448" s="1"/>
    </row>
    <row r="449" spans="1:15" ht="15">
      <c r="A449" s="2"/>
      <c r="B449" s="2"/>
      <c r="C449" s="2"/>
      <c r="D449" s="8"/>
      <c r="E449" s="8"/>
      <c r="F449" s="8"/>
      <c r="G449" s="8"/>
      <c r="H449" s="2"/>
      <c r="I449" s="2"/>
      <c r="J449" s="2"/>
      <c r="K449" s="1"/>
      <c r="L449" s="1"/>
      <c r="M449" s="1"/>
      <c r="N449" s="1"/>
      <c r="O449" s="1"/>
    </row>
    <row r="450" spans="1:15" ht="15">
      <c r="A450" s="2"/>
      <c r="B450" s="2"/>
      <c r="C450" s="2"/>
      <c r="D450" s="8"/>
      <c r="E450" s="8"/>
      <c r="F450" s="8"/>
      <c r="G450" s="8"/>
      <c r="H450" s="2"/>
      <c r="I450" s="2"/>
      <c r="J450" s="2"/>
      <c r="K450" s="1"/>
      <c r="L450" s="1"/>
      <c r="M450" s="1"/>
      <c r="N450" s="1"/>
      <c r="O450" s="1"/>
    </row>
    <row r="451" spans="1:15" ht="15">
      <c r="A451" s="2"/>
      <c r="B451" s="2"/>
      <c r="C451" s="2"/>
      <c r="D451" s="8"/>
      <c r="E451" s="8"/>
      <c r="F451" s="8"/>
      <c r="G451" s="8"/>
      <c r="H451" s="2"/>
      <c r="I451" s="2"/>
      <c r="J451" s="2"/>
      <c r="K451" s="1"/>
      <c r="L451" s="1"/>
      <c r="M451" s="1"/>
      <c r="N451" s="1"/>
      <c r="O451" s="1"/>
    </row>
    <row r="452" spans="1:15" ht="15">
      <c r="A452" s="2"/>
      <c r="B452" s="2"/>
      <c r="C452" s="2"/>
      <c r="D452" s="8"/>
      <c r="E452" s="8"/>
      <c r="F452" s="8"/>
      <c r="G452" s="8"/>
      <c r="H452" s="2"/>
      <c r="I452" s="2"/>
      <c r="J452" s="2"/>
      <c r="K452" s="1"/>
      <c r="L452" s="1"/>
      <c r="M452" s="1"/>
      <c r="N452" s="1"/>
      <c r="O452" s="1"/>
    </row>
    <row r="453" spans="1:15" ht="15">
      <c r="A453" s="2"/>
      <c r="B453" s="2"/>
      <c r="C453" s="2"/>
      <c r="D453" s="8"/>
      <c r="E453" s="8"/>
      <c r="F453" s="8"/>
      <c r="G453" s="8"/>
      <c r="H453" s="2"/>
      <c r="I453" s="2"/>
      <c r="J453" s="2"/>
      <c r="K453" s="1"/>
      <c r="L453" s="1"/>
      <c r="M453" s="1"/>
      <c r="N453" s="1"/>
      <c r="O453" s="1"/>
    </row>
    <row r="454" spans="1:15" ht="15">
      <c r="A454" s="2"/>
      <c r="B454" s="2"/>
      <c r="C454" s="2"/>
      <c r="D454" s="8"/>
      <c r="E454" s="8"/>
      <c r="F454" s="8"/>
      <c r="G454" s="8"/>
      <c r="H454" s="2"/>
      <c r="I454" s="2"/>
      <c r="J454" s="2"/>
      <c r="K454" s="1"/>
      <c r="L454" s="1"/>
      <c r="M454" s="1"/>
      <c r="N454" s="1"/>
      <c r="O454" s="1"/>
    </row>
    <row r="455" spans="1:15" ht="15">
      <c r="A455" s="2"/>
      <c r="B455" s="2"/>
      <c r="C455" s="2"/>
      <c r="D455" s="8"/>
      <c r="E455" s="8"/>
      <c r="F455" s="8"/>
      <c r="G455" s="8"/>
      <c r="H455" s="2"/>
      <c r="I455" s="2"/>
      <c r="J455" s="2"/>
      <c r="K455" s="1"/>
      <c r="L455" s="1"/>
      <c r="M455" s="1"/>
      <c r="N455" s="1"/>
      <c r="O455" s="1"/>
    </row>
    <row r="456" spans="1:15" ht="15">
      <c r="A456" s="2"/>
      <c r="B456" s="2"/>
      <c r="C456" s="2"/>
      <c r="D456" s="8"/>
      <c r="E456" s="8"/>
      <c r="F456" s="8"/>
      <c r="G456" s="8"/>
      <c r="H456" s="2"/>
      <c r="I456" s="2"/>
      <c r="J456" s="2"/>
      <c r="K456" s="1"/>
      <c r="L456" s="1"/>
      <c r="M456" s="1"/>
      <c r="N456" s="1"/>
      <c r="O456" s="1"/>
    </row>
    <row r="457" spans="1:15" ht="15">
      <c r="A457" s="2"/>
      <c r="B457" s="2"/>
      <c r="C457" s="2"/>
      <c r="D457" s="8"/>
      <c r="E457" s="8"/>
      <c r="F457" s="8"/>
      <c r="G457" s="8"/>
      <c r="H457" s="2"/>
      <c r="I457" s="2"/>
      <c r="J457" s="2"/>
      <c r="K457" s="1"/>
      <c r="L457" s="1"/>
      <c r="M457" s="1"/>
      <c r="N457" s="1"/>
      <c r="O457" s="1"/>
    </row>
    <row r="458" spans="1:15" ht="15">
      <c r="A458" s="2"/>
      <c r="B458" s="2"/>
      <c r="C458" s="2"/>
      <c r="D458" s="8"/>
      <c r="E458" s="8"/>
      <c r="F458" s="8"/>
      <c r="G458" s="8"/>
      <c r="H458" s="2"/>
      <c r="I458" s="2"/>
      <c r="J458" s="2"/>
      <c r="K458" s="1"/>
      <c r="L458" s="1"/>
      <c r="M458" s="1"/>
      <c r="N458" s="1"/>
      <c r="O458" s="1"/>
    </row>
    <row r="459" spans="1:15" ht="15">
      <c r="A459" s="2"/>
      <c r="B459" s="2"/>
      <c r="C459" s="2"/>
      <c r="D459" s="8"/>
      <c r="E459" s="8"/>
      <c r="F459" s="8"/>
      <c r="G459" s="8"/>
      <c r="H459" s="2"/>
      <c r="I459" s="2"/>
      <c r="J459" s="2"/>
      <c r="K459" s="1"/>
      <c r="L459" s="1"/>
      <c r="M459" s="1"/>
      <c r="N459" s="1"/>
      <c r="O459" s="1"/>
    </row>
    <row r="460" spans="1:15" ht="15">
      <c r="A460" s="2"/>
      <c r="B460" s="2"/>
      <c r="C460" s="2"/>
      <c r="D460" s="8"/>
      <c r="E460" s="8"/>
      <c r="F460" s="8"/>
      <c r="G460" s="8"/>
      <c r="H460" s="2"/>
      <c r="I460" s="2"/>
      <c r="J460" s="2"/>
      <c r="K460" s="1"/>
      <c r="L460" s="1"/>
      <c r="M460" s="1"/>
      <c r="N460" s="1"/>
      <c r="O460" s="1"/>
    </row>
    <row r="461" spans="1:15" ht="15">
      <c r="A461" s="2"/>
      <c r="B461" s="2"/>
      <c r="C461" s="2"/>
      <c r="D461" s="8"/>
      <c r="E461" s="8"/>
      <c r="F461" s="8"/>
      <c r="G461" s="8"/>
      <c r="H461" s="2"/>
      <c r="I461" s="2"/>
      <c r="J461" s="2"/>
      <c r="K461" s="1"/>
      <c r="L461" s="1"/>
      <c r="M461" s="1"/>
      <c r="N461" s="1"/>
      <c r="O461" s="1"/>
    </row>
    <row r="462" spans="1:15" ht="15">
      <c r="A462" s="2"/>
      <c r="B462" s="2"/>
      <c r="C462" s="2"/>
      <c r="D462" s="8"/>
      <c r="E462" s="8"/>
      <c r="F462" s="8"/>
      <c r="G462" s="8"/>
      <c r="H462" s="2"/>
      <c r="I462" s="2"/>
      <c r="J462" s="2"/>
      <c r="K462" s="1"/>
      <c r="L462" s="1"/>
      <c r="M462" s="1"/>
      <c r="N462" s="1"/>
      <c r="O462" s="1"/>
    </row>
    <row r="463" spans="1:15" ht="15">
      <c r="A463" s="2"/>
      <c r="B463" s="2"/>
      <c r="C463" s="2"/>
      <c r="D463" s="8"/>
      <c r="E463" s="8"/>
      <c r="F463" s="8"/>
      <c r="G463" s="8"/>
      <c r="H463" s="2"/>
      <c r="I463" s="2"/>
      <c r="J463" s="2"/>
      <c r="K463" s="1"/>
      <c r="L463" s="1"/>
      <c r="M463" s="1"/>
      <c r="N463" s="1"/>
      <c r="O463" s="1"/>
    </row>
    <row r="464" spans="1:15" ht="15">
      <c r="A464" s="2"/>
      <c r="B464" s="2"/>
      <c r="C464" s="2"/>
      <c r="D464" s="8"/>
      <c r="E464" s="8"/>
      <c r="F464" s="8"/>
      <c r="G464" s="8"/>
      <c r="H464" s="2"/>
      <c r="I464" s="2"/>
      <c r="J464" s="2"/>
      <c r="K464" s="1"/>
      <c r="L464" s="1"/>
      <c r="M464" s="1"/>
      <c r="N464" s="1"/>
      <c r="O464" s="1"/>
    </row>
    <row r="465" spans="1:15" ht="15">
      <c r="A465" s="2"/>
      <c r="B465" s="2"/>
      <c r="C465" s="2"/>
      <c r="D465" s="8"/>
      <c r="E465" s="8"/>
      <c r="F465" s="8"/>
      <c r="G465" s="8"/>
      <c r="H465" s="2"/>
      <c r="I465" s="2"/>
      <c r="J465" s="2"/>
      <c r="K465" s="1"/>
      <c r="L465" s="1"/>
      <c r="M465" s="1"/>
      <c r="N465" s="1"/>
      <c r="O465" s="1"/>
    </row>
    <row r="466" spans="1:15" ht="15">
      <c r="A466" s="2"/>
      <c r="B466" s="2"/>
      <c r="C466" s="2"/>
      <c r="D466" s="8"/>
      <c r="E466" s="8"/>
      <c r="F466" s="8"/>
      <c r="G466" s="8"/>
      <c r="H466" s="2"/>
      <c r="I466" s="2"/>
      <c r="J466" s="2"/>
      <c r="K466" s="1"/>
      <c r="L466" s="1"/>
      <c r="M466" s="1"/>
      <c r="N466" s="1"/>
      <c r="O466" s="1"/>
    </row>
    <row r="467" spans="1:15" ht="15">
      <c r="A467" s="2"/>
      <c r="B467" s="2"/>
      <c r="C467" s="2"/>
      <c r="D467" s="8"/>
      <c r="E467" s="8"/>
      <c r="F467" s="8"/>
      <c r="G467" s="8"/>
      <c r="H467" s="2"/>
      <c r="I467" s="2"/>
      <c r="J467" s="2"/>
      <c r="K467" s="1"/>
      <c r="L467" s="1"/>
      <c r="M467" s="1"/>
      <c r="N467" s="1"/>
      <c r="O467" s="1"/>
    </row>
    <row r="468" spans="1:15" ht="15">
      <c r="A468" s="2"/>
      <c r="B468" s="2"/>
      <c r="C468" s="2"/>
      <c r="D468" s="8"/>
      <c r="E468" s="8"/>
      <c r="F468" s="8"/>
      <c r="G468" s="8"/>
      <c r="H468" s="2"/>
      <c r="I468" s="2"/>
      <c r="J468" s="2"/>
      <c r="K468" s="1"/>
      <c r="L468" s="1"/>
      <c r="M468" s="1"/>
      <c r="N468" s="1"/>
      <c r="O468" s="1"/>
    </row>
    <row r="469" spans="1:15" ht="15">
      <c r="A469" s="2"/>
      <c r="B469" s="2"/>
      <c r="C469" s="2"/>
      <c r="D469" s="8"/>
      <c r="E469" s="8"/>
      <c r="F469" s="8"/>
      <c r="G469" s="8"/>
      <c r="H469" s="2"/>
      <c r="I469" s="2"/>
      <c r="J469" s="2"/>
      <c r="K469" s="1"/>
      <c r="L469" s="1"/>
      <c r="M469" s="1"/>
      <c r="N469" s="1"/>
      <c r="O469" s="1"/>
    </row>
    <row r="470" spans="1:15" ht="15">
      <c r="A470" s="2"/>
      <c r="B470" s="2"/>
      <c r="C470" s="2"/>
      <c r="D470" s="8"/>
      <c r="E470" s="8"/>
      <c r="F470" s="8"/>
      <c r="G470" s="8"/>
      <c r="H470" s="2"/>
      <c r="I470" s="2"/>
      <c r="J470" s="2"/>
      <c r="K470" s="1"/>
      <c r="L470" s="1"/>
      <c r="M470" s="1"/>
      <c r="N470" s="1"/>
      <c r="O470" s="1"/>
    </row>
    <row r="471" spans="1:15" ht="15">
      <c r="A471" s="2"/>
      <c r="B471" s="2"/>
      <c r="C471" s="2"/>
      <c r="D471" s="8"/>
      <c r="E471" s="8"/>
      <c r="F471" s="8"/>
      <c r="G471" s="8"/>
      <c r="H471" s="2"/>
      <c r="I471" s="2"/>
      <c r="J471" s="2"/>
      <c r="K471" s="1"/>
      <c r="L471" s="1"/>
      <c r="M471" s="1"/>
      <c r="N471" s="1"/>
      <c r="O471" s="1"/>
    </row>
    <row r="472" spans="1:15" ht="15">
      <c r="A472" s="2"/>
      <c r="B472" s="2"/>
      <c r="C472" s="2"/>
      <c r="D472" s="8"/>
      <c r="E472" s="8"/>
      <c r="F472" s="8"/>
      <c r="G472" s="8"/>
      <c r="H472" s="2"/>
      <c r="I472" s="2"/>
      <c r="J472" s="2"/>
      <c r="K472" s="1"/>
      <c r="L472" s="1"/>
      <c r="M472" s="1"/>
      <c r="N472" s="1"/>
      <c r="O472" s="1"/>
    </row>
    <row r="473" spans="1:15" ht="15">
      <c r="A473" s="2"/>
      <c r="B473" s="2"/>
      <c r="C473" s="2"/>
      <c r="D473" s="8"/>
      <c r="E473" s="8"/>
      <c r="F473" s="8"/>
      <c r="G473" s="8"/>
      <c r="H473" s="2"/>
      <c r="I473" s="2"/>
      <c r="J473" s="2"/>
      <c r="K473" s="1"/>
      <c r="L473" s="1"/>
      <c r="M473" s="1"/>
      <c r="N473" s="1"/>
      <c r="O473" s="1"/>
    </row>
    <row r="474" spans="1:15" ht="15">
      <c r="A474" s="2"/>
      <c r="B474" s="2"/>
      <c r="C474" s="2"/>
      <c r="D474" s="8"/>
      <c r="E474" s="8"/>
      <c r="F474" s="8"/>
      <c r="G474" s="8"/>
      <c r="H474" s="2"/>
      <c r="I474" s="2"/>
      <c r="J474" s="2"/>
      <c r="K474" s="1"/>
      <c r="L474" s="1"/>
      <c r="M474" s="1"/>
      <c r="N474" s="1"/>
      <c r="O474" s="1"/>
    </row>
    <row r="475" spans="1:15" ht="15">
      <c r="A475" s="2"/>
      <c r="B475" s="2"/>
      <c r="C475" s="2"/>
      <c r="D475" s="8"/>
      <c r="E475" s="8"/>
      <c r="F475" s="8"/>
      <c r="G475" s="8"/>
      <c r="H475" s="2"/>
      <c r="I475" s="2"/>
      <c r="J475" s="2"/>
      <c r="K475" s="1"/>
      <c r="L475" s="1"/>
      <c r="M475" s="1"/>
      <c r="N475" s="1"/>
      <c r="O475" s="1"/>
    </row>
    <row r="476" spans="1:15" ht="15">
      <c r="A476" s="2"/>
      <c r="B476" s="2"/>
      <c r="C476" s="2"/>
      <c r="D476" s="8"/>
      <c r="E476" s="8"/>
      <c r="F476" s="8"/>
      <c r="G476" s="8"/>
      <c r="H476" s="2"/>
      <c r="I476" s="2"/>
      <c r="J476" s="2"/>
      <c r="K476" s="1"/>
      <c r="L476" s="1"/>
      <c r="M476" s="1"/>
      <c r="N476" s="1"/>
      <c r="O476" s="1"/>
    </row>
    <row r="477" spans="1:15" ht="15">
      <c r="A477" s="2"/>
      <c r="B477" s="2"/>
      <c r="C477" s="2"/>
      <c r="D477" s="8"/>
      <c r="E477" s="8"/>
      <c r="F477" s="8"/>
      <c r="G477" s="8"/>
      <c r="H477" s="2"/>
      <c r="I477" s="2"/>
      <c r="J477" s="2"/>
      <c r="K477" s="1"/>
      <c r="L477" s="1"/>
      <c r="M477" s="1"/>
      <c r="N477" s="1"/>
      <c r="O477" s="1"/>
    </row>
    <row r="478" spans="1:15" ht="15">
      <c r="A478" s="2"/>
      <c r="B478" s="2"/>
      <c r="C478" s="2"/>
      <c r="D478" s="8"/>
      <c r="E478" s="8"/>
      <c r="F478" s="8"/>
      <c r="G478" s="8"/>
      <c r="H478" s="2"/>
      <c r="I478" s="2"/>
      <c r="J478" s="2"/>
      <c r="K478" s="1"/>
      <c r="L478" s="1"/>
      <c r="M478" s="1"/>
      <c r="N478" s="1"/>
      <c r="O478" s="1"/>
    </row>
    <row r="479" spans="1:15" ht="15">
      <c r="A479" s="2"/>
      <c r="B479" s="2"/>
      <c r="C479" s="2"/>
      <c r="D479" s="8"/>
      <c r="E479" s="8"/>
      <c r="F479" s="8"/>
      <c r="G479" s="8"/>
      <c r="H479" s="2"/>
      <c r="I479" s="2"/>
      <c r="J479" s="2"/>
      <c r="K479" s="1"/>
      <c r="L479" s="1"/>
      <c r="M479" s="1"/>
      <c r="N479" s="1"/>
      <c r="O479" s="1"/>
    </row>
    <row r="480" spans="1:15" ht="15">
      <c r="A480" s="2"/>
      <c r="B480" s="2"/>
      <c r="C480" s="2"/>
      <c r="D480" s="8"/>
      <c r="E480" s="8"/>
      <c r="F480" s="8"/>
      <c r="G480" s="8"/>
      <c r="H480" s="2"/>
      <c r="I480" s="2"/>
      <c r="J480" s="2"/>
      <c r="K480" s="1"/>
      <c r="L480" s="1"/>
      <c r="M480" s="1"/>
      <c r="N480" s="1"/>
      <c r="O480" s="1"/>
    </row>
    <row r="481" spans="1:15" ht="15">
      <c r="A481" s="2"/>
      <c r="B481" s="2"/>
      <c r="C481" s="2"/>
      <c r="D481" s="8"/>
      <c r="E481" s="8"/>
      <c r="F481" s="8"/>
      <c r="G481" s="8"/>
      <c r="H481" s="2"/>
      <c r="I481" s="2"/>
      <c r="J481" s="2"/>
      <c r="K481" s="1"/>
      <c r="L481" s="1"/>
      <c r="M481" s="1"/>
      <c r="N481" s="1"/>
      <c r="O481" s="1"/>
    </row>
    <row r="482" spans="1:15" ht="15">
      <c r="A482" s="2"/>
      <c r="B482" s="2"/>
      <c r="C482" s="2"/>
      <c r="D482" s="8"/>
      <c r="E482" s="8"/>
      <c r="F482" s="8"/>
      <c r="G482" s="8"/>
      <c r="H482" s="2"/>
      <c r="I482" s="2"/>
      <c r="J482" s="2"/>
      <c r="K482" s="1"/>
      <c r="L482" s="1"/>
      <c r="M482" s="1"/>
      <c r="N482" s="1"/>
      <c r="O482" s="1"/>
    </row>
    <row r="483" spans="1:15" ht="15">
      <c r="A483" s="2"/>
      <c r="B483" s="2"/>
      <c r="C483" s="2"/>
      <c r="D483" s="8"/>
      <c r="E483" s="8"/>
      <c r="F483" s="8"/>
      <c r="G483" s="8"/>
      <c r="H483" s="2"/>
      <c r="I483" s="2"/>
      <c r="J483" s="2"/>
      <c r="K483" s="1"/>
      <c r="L483" s="1"/>
      <c r="M483" s="1"/>
      <c r="N483" s="1"/>
      <c r="O483" s="1"/>
    </row>
    <row r="484" spans="1:15" ht="15">
      <c r="A484" s="2"/>
      <c r="B484" s="2"/>
      <c r="C484" s="2"/>
      <c r="D484" s="8"/>
      <c r="E484" s="8"/>
      <c r="F484" s="8"/>
      <c r="G484" s="8"/>
      <c r="H484" s="2"/>
      <c r="I484" s="2"/>
      <c r="J484" s="2"/>
      <c r="K484" s="1"/>
      <c r="L484" s="1"/>
      <c r="M484" s="1"/>
      <c r="N484" s="1"/>
      <c r="O484" s="1"/>
    </row>
    <row r="485" spans="1:15" ht="15">
      <c r="A485" s="2"/>
      <c r="B485" s="2"/>
      <c r="C485" s="2"/>
      <c r="D485" s="8"/>
      <c r="E485" s="8"/>
      <c r="F485" s="8"/>
      <c r="G485" s="8"/>
      <c r="H485" s="2"/>
      <c r="I485" s="2"/>
      <c r="J485" s="2"/>
      <c r="K485" s="1"/>
      <c r="L485" s="1"/>
      <c r="M485" s="1"/>
      <c r="N485" s="1"/>
      <c r="O485" s="1"/>
    </row>
    <row r="486" spans="1:15" ht="15">
      <c r="A486" s="2"/>
      <c r="B486" s="2"/>
      <c r="C486" s="2"/>
      <c r="D486" s="8"/>
      <c r="E486" s="8"/>
      <c r="F486" s="8"/>
      <c r="G486" s="8"/>
      <c r="H486" s="2"/>
      <c r="I486" s="2"/>
      <c r="J486" s="2"/>
      <c r="K486" s="1"/>
      <c r="L486" s="1"/>
      <c r="M486" s="1"/>
      <c r="N486" s="1"/>
      <c r="O486" s="1"/>
    </row>
    <row r="487" spans="1:15" ht="15">
      <c r="A487" s="2"/>
      <c r="B487" s="2"/>
      <c r="C487" s="2"/>
      <c r="D487" s="8"/>
      <c r="E487" s="8"/>
      <c r="F487" s="8"/>
      <c r="G487" s="8"/>
      <c r="H487" s="2"/>
      <c r="I487" s="2"/>
      <c r="J487" s="2"/>
      <c r="K487" s="1"/>
      <c r="L487" s="1"/>
      <c r="M487" s="1"/>
      <c r="N487" s="1"/>
      <c r="O487" s="1"/>
    </row>
    <row r="488" spans="1:15" ht="15">
      <c r="A488" s="2"/>
      <c r="B488" s="2"/>
      <c r="C488" s="2"/>
      <c r="D488" s="8"/>
      <c r="E488" s="8"/>
      <c r="F488" s="8"/>
      <c r="G488" s="8"/>
      <c r="H488" s="2"/>
      <c r="I488" s="2"/>
      <c r="J488" s="2"/>
      <c r="K488" s="1"/>
      <c r="L488" s="1"/>
      <c r="M488" s="1"/>
      <c r="N488" s="1"/>
      <c r="O488" s="1"/>
    </row>
    <row r="489" spans="1:15" ht="15">
      <c r="A489" s="2"/>
      <c r="B489" s="2"/>
      <c r="C489" s="2"/>
      <c r="D489" s="8"/>
      <c r="E489" s="8"/>
      <c r="F489" s="8"/>
      <c r="G489" s="8"/>
      <c r="H489" s="2"/>
      <c r="I489" s="2"/>
      <c r="J489" s="2"/>
      <c r="K489" s="1"/>
      <c r="L489" s="1"/>
      <c r="M489" s="1"/>
      <c r="N489" s="1"/>
      <c r="O489" s="1"/>
    </row>
    <row r="490" spans="1:15" ht="15">
      <c r="A490" s="2"/>
      <c r="B490" s="2"/>
      <c r="C490" s="2"/>
      <c r="D490" s="8"/>
      <c r="E490" s="8"/>
      <c r="F490" s="8"/>
      <c r="G490" s="8"/>
      <c r="H490" s="2"/>
      <c r="I490" s="2"/>
      <c r="J490" s="2"/>
      <c r="K490" s="1"/>
      <c r="L490" s="1"/>
      <c r="M490" s="1"/>
      <c r="N490" s="1"/>
      <c r="O490" s="1"/>
    </row>
    <row r="491" spans="1:15" ht="15">
      <c r="A491" s="2"/>
      <c r="B491" s="2"/>
      <c r="C491" s="2"/>
      <c r="D491" s="8"/>
      <c r="E491" s="8"/>
      <c r="F491" s="8"/>
      <c r="G491" s="8"/>
      <c r="H491" s="2"/>
      <c r="I491" s="2"/>
      <c r="J491" s="2"/>
      <c r="K491" s="1"/>
      <c r="L491" s="1"/>
      <c r="M491" s="1"/>
      <c r="N491" s="1"/>
      <c r="O491" s="1"/>
    </row>
    <row r="492" spans="1:15" ht="15">
      <c r="A492" s="2"/>
      <c r="B492" s="2"/>
      <c r="C492" s="2"/>
      <c r="D492" s="8"/>
      <c r="E492" s="8"/>
      <c r="F492" s="8"/>
      <c r="G492" s="8"/>
      <c r="H492" s="2"/>
      <c r="I492" s="2"/>
      <c r="J492" s="2"/>
      <c r="K492" s="1"/>
      <c r="L492" s="1"/>
      <c r="M492" s="1"/>
      <c r="N492" s="1"/>
      <c r="O492" s="1"/>
    </row>
    <row r="493" spans="1:15" ht="15">
      <c r="A493" s="2"/>
      <c r="B493" s="2"/>
      <c r="C493" s="2"/>
      <c r="D493" s="8"/>
      <c r="E493" s="8"/>
      <c r="F493" s="8"/>
      <c r="G493" s="8"/>
      <c r="H493" s="2"/>
      <c r="I493" s="2"/>
      <c r="J493" s="2"/>
      <c r="K493" s="1"/>
      <c r="L493" s="1"/>
      <c r="M493" s="1"/>
      <c r="N493" s="1"/>
      <c r="O493" s="1"/>
    </row>
    <row r="494" spans="1:15" ht="15">
      <c r="A494" s="2"/>
      <c r="B494" s="2"/>
      <c r="C494" s="2"/>
      <c r="D494" s="8"/>
      <c r="E494" s="8"/>
      <c r="F494" s="8"/>
      <c r="G494" s="8"/>
      <c r="H494" s="2"/>
      <c r="I494" s="2"/>
      <c r="J494" s="2"/>
      <c r="K494" s="1"/>
      <c r="L494" s="1"/>
      <c r="M494" s="1"/>
      <c r="N494" s="1"/>
      <c r="O494" s="1"/>
    </row>
    <row r="495" spans="1:15" ht="15">
      <c r="A495" s="2"/>
      <c r="B495" s="2"/>
      <c r="C495" s="2"/>
      <c r="D495" s="8"/>
      <c r="E495" s="8"/>
      <c r="F495" s="8"/>
      <c r="G495" s="8"/>
      <c r="H495" s="2"/>
      <c r="I495" s="2"/>
      <c r="J495" s="2"/>
      <c r="K495" s="1"/>
      <c r="L495" s="1"/>
      <c r="M495" s="1"/>
      <c r="N495" s="1"/>
      <c r="O495" s="1"/>
    </row>
    <row r="496" spans="1:15" ht="15">
      <c r="A496" s="2"/>
      <c r="B496" s="2"/>
      <c r="C496" s="2"/>
      <c r="D496" s="8"/>
      <c r="E496" s="8"/>
      <c r="F496" s="8"/>
      <c r="G496" s="8"/>
      <c r="H496" s="2"/>
      <c r="I496" s="2"/>
      <c r="J496" s="2"/>
      <c r="K496" s="1"/>
      <c r="L496" s="1"/>
      <c r="M496" s="1"/>
      <c r="N496" s="1"/>
      <c r="O496" s="1"/>
    </row>
    <row r="497" spans="1:15" ht="15">
      <c r="A497" s="2"/>
      <c r="B497" s="2"/>
      <c r="C497" s="2"/>
      <c r="D497" s="8"/>
      <c r="E497" s="8"/>
      <c r="F497" s="8"/>
      <c r="G497" s="8"/>
      <c r="H497" s="2"/>
      <c r="I497" s="2"/>
      <c r="J497" s="2"/>
      <c r="K497" s="1"/>
      <c r="L497" s="1"/>
      <c r="M497" s="1"/>
      <c r="N497" s="1"/>
      <c r="O497" s="1"/>
    </row>
    <row r="498" spans="1:15" ht="15">
      <c r="A498" s="2"/>
      <c r="B498" s="2"/>
      <c r="C498" s="2"/>
      <c r="D498" s="8"/>
      <c r="E498" s="8"/>
      <c r="F498" s="8"/>
      <c r="G498" s="8"/>
      <c r="H498" s="2"/>
      <c r="I498" s="2"/>
      <c r="J498" s="2"/>
      <c r="K498" s="1"/>
      <c r="L498" s="1"/>
      <c r="M498" s="1"/>
      <c r="N498" s="1"/>
      <c r="O498" s="1"/>
    </row>
    <row r="499" spans="1:15" ht="15">
      <c r="A499" s="2"/>
      <c r="B499" s="2"/>
      <c r="C499" s="2"/>
      <c r="D499" s="8"/>
      <c r="E499" s="8"/>
      <c r="F499" s="8"/>
      <c r="G499" s="8"/>
      <c r="H499" s="2"/>
      <c r="I499" s="2"/>
      <c r="J499" s="2"/>
      <c r="K499" s="1"/>
      <c r="L499" s="1"/>
      <c r="M499" s="1"/>
      <c r="N499" s="1"/>
      <c r="O499" s="1"/>
    </row>
    <row r="500" spans="1:15" ht="15">
      <c r="A500" s="2"/>
      <c r="B500" s="2"/>
      <c r="C500" s="2"/>
      <c r="D500" s="8"/>
      <c r="E500" s="8"/>
      <c r="F500" s="8"/>
      <c r="G500" s="8"/>
      <c r="H500" s="2"/>
      <c r="I500" s="2"/>
      <c r="J500" s="2"/>
      <c r="K500" s="1"/>
      <c r="L500" s="1"/>
      <c r="M500" s="1"/>
      <c r="N500" s="1"/>
      <c r="O500" s="1"/>
    </row>
    <row r="501" spans="1:15" ht="15">
      <c r="A501" s="2"/>
      <c r="B501" s="2"/>
      <c r="C501" s="2"/>
      <c r="D501" s="8"/>
      <c r="E501" s="8"/>
      <c r="F501" s="8"/>
      <c r="G501" s="8"/>
      <c r="H501" s="2"/>
      <c r="I501" s="2"/>
      <c r="J501" s="2"/>
      <c r="K501" s="1"/>
      <c r="L501" s="1"/>
      <c r="M501" s="1"/>
      <c r="N501" s="1"/>
      <c r="O501" s="1"/>
    </row>
    <row r="502" spans="1:15" ht="15">
      <c r="A502" s="2"/>
      <c r="B502" s="2"/>
      <c r="C502" s="2"/>
      <c r="D502" s="8"/>
      <c r="E502" s="8"/>
      <c r="F502" s="8"/>
      <c r="G502" s="8"/>
      <c r="H502" s="2"/>
      <c r="I502" s="2"/>
      <c r="J502" s="2"/>
      <c r="K502" s="1"/>
      <c r="L502" s="1"/>
      <c r="M502" s="1"/>
      <c r="N502" s="1"/>
      <c r="O502" s="1"/>
    </row>
    <row r="503" spans="1:15" ht="15">
      <c r="A503" s="2"/>
      <c r="B503" s="2"/>
      <c r="C503" s="2"/>
      <c r="D503" s="8"/>
      <c r="E503" s="8"/>
      <c r="F503" s="8"/>
      <c r="G503" s="8"/>
      <c r="H503" s="2"/>
      <c r="I503" s="2"/>
      <c r="J503" s="2"/>
      <c r="K503" s="1"/>
      <c r="L503" s="1"/>
      <c r="M503" s="1"/>
      <c r="N503" s="1"/>
      <c r="O503" s="1"/>
    </row>
    <row r="504" spans="1:15" ht="15">
      <c r="A504" s="2"/>
      <c r="B504" s="2"/>
      <c r="C504" s="2"/>
      <c r="D504" s="8"/>
      <c r="E504" s="8"/>
      <c r="F504" s="8"/>
      <c r="G504" s="8"/>
      <c r="H504" s="2"/>
      <c r="I504" s="2"/>
      <c r="J504" s="2"/>
      <c r="K504" s="1"/>
      <c r="L504" s="1"/>
      <c r="M504" s="1"/>
      <c r="N504" s="1"/>
      <c r="O504" s="1"/>
    </row>
    <row r="505" spans="1:15" ht="15">
      <c r="A505" s="2"/>
      <c r="B505" s="2"/>
      <c r="C505" s="2"/>
      <c r="D505" s="8"/>
      <c r="E505" s="8"/>
      <c r="F505" s="8"/>
      <c r="G505" s="8"/>
      <c r="H505" s="2"/>
      <c r="I505" s="2"/>
      <c r="J505" s="2"/>
      <c r="K505" s="1"/>
      <c r="L505" s="1"/>
      <c r="M505" s="1"/>
      <c r="N505" s="1"/>
      <c r="O505" s="1"/>
    </row>
    <row r="506" spans="1:15" ht="15">
      <c r="A506" s="2"/>
      <c r="B506" s="2"/>
      <c r="C506" s="2"/>
      <c r="D506" s="8"/>
      <c r="E506" s="8"/>
      <c r="F506" s="8"/>
      <c r="G506" s="8"/>
      <c r="H506" s="2"/>
      <c r="I506" s="2"/>
      <c r="J506" s="2"/>
      <c r="K506" s="1"/>
      <c r="L506" s="1"/>
      <c r="M506" s="1"/>
      <c r="N506" s="1"/>
      <c r="O506" s="1"/>
    </row>
    <row r="507" spans="1:15" ht="15">
      <c r="A507" s="2"/>
      <c r="B507" s="2"/>
      <c r="C507" s="2"/>
      <c r="D507" s="8"/>
      <c r="E507" s="8"/>
      <c r="F507" s="8"/>
      <c r="G507" s="8"/>
      <c r="H507" s="2"/>
      <c r="I507" s="2"/>
      <c r="J507" s="2"/>
      <c r="K507" s="1"/>
      <c r="L507" s="1"/>
      <c r="M507" s="1"/>
      <c r="N507" s="1"/>
      <c r="O507" s="1"/>
    </row>
    <row r="508" spans="1:15" ht="15">
      <c r="A508" s="2"/>
      <c r="B508" s="2"/>
      <c r="C508" s="2"/>
      <c r="D508" s="8"/>
      <c r="E508" s="8"/>
      <c r="F508" s="8"/>
      <c r="G508" s="8"/>
      <c r="H508" s="2"/>
      <c r="I508" s="2"/>
      <c r="J508" s="2"/>
      <c r="K508" s="1"/>
      <c r="L508" s="1"/>
      <c r="M508" s="1"/>
      <c r="N508" s="1"/>
      <c r="O508" s="1"/>
    </row>
    <row r="509" spans="1:15" ht="15">
      <c r="A509" s="2"/>
      <c r="B509" s="2"/>
      <c r="C509" s="2"/>
      <c r="D509" s="8"/>
      <c r="E509" s="8"/>
      <c r="F509" s="8"/>
      <c r="G509" s="8"/>
      <c r="H509" s="2"/>
      <c r="I509" s="2"/>
      <c r="J509" s="2"/>
      <c r="K509" s="1"/>
      <c r="L509" s="1"/>
      <c r="M509" s="1"/>
      <c r="N509" s="1"/>
      <c r="O509" s="1"/>
    </row>
    <row r="510" spans="1:15" ht="15">
      <c r="A510" s="2"/>
      <c r="B510" s="2"/>
      <c r="C510" s="2"/>
      <c r="D510" s="8"/>
      <c r="E510" s="8"/>
      <c r="F510" s="8"/>
      <c r="G510" s="8"/>
      <c r="H510" s="2"/>
      <c r="I510" s="2"/>
      <c r="J510" s="2"/>
      <c r="K510" s="1"/>
      <c r="L510" s="1"/>
      <c r="M510" s="1"/>
      <c r="N510" s="1"/>
      <c r="O510" s="1"/>
    </row>
    <row r="511" spans="1:15" ht="15">
      <c r="A511" s="2"/>
      <c r="B511" s="2"/>
      <c r="C511" s="2"/>
      <c r="D511" s="8"/>
      <c r="E511" s="8"/>
      <c r="F511" s="8"/>
      <c r="G511" s="8"/>
      <c r="H511" s="2"/>
      <c r="I511" s="2"/>
      <c r="J511" s="2"/>
      <c r="K511" s="1"/>
      <c r="L511" s="1"/>
      <c r="M511" s="1"/>
      <c r="N511" s="1"/>
      <c r="O511" s="1"/>
    </row>
    <row r="512" spans="1:15" ht="15">
      <c r="A512" s="2"/>
      <c r="B512" s="2"/>
      <c r="C512" s="2"/>
      <c r="D512" s="8"/>
      <c r="E512" s="8"/>
      <c r="F512" s="8"/>
      <c r="G512" s="8"/>
      <c r="H512" s="2"/>
      <c r="I512" s="2"/>
      <c r="J512" s="2"/>
      <c r="K512" s="1"/>
      <c r="L512" s="1"/>
      <c r="M512" s="1"/>
      <c r="N512" s="1"/>
      <c r="O512" s="1"/>
    </row>
    <row r="513" spans="1:15" ht="15">
      <c r="A513" s="2"/>
      <c r="B513" s="2"/>
      <c r="C513" s="2"/>
      <c r="D513" s="8"/>
      <c r="E513" s="8"/>
      <c r="F513" s="8"/>
      <c r="G513" s="8"/>
      <c r="H513" s="2"/>
      <c r="I513" s="2"/>
      <c r="J513" s="2"/>
      <c r="K513" s="1"/>
      <c r="L513" s="1"/>
      <c r="M513" s="1"/>
      <c r="N513" s="1"/>
      <c r="O513" s="1"/>
    </row>
    <row r="514" spans="1:15" ht="15">
      <c r="A514" s="2"/>
      <c r="B514" s="2"/>
      <c r="C514" s="2"/>
      <c r="D514" s="8"/>
      <c r="E514" s="8"/>
      <c r="F514" s="8"/>
      <c r="G514" s="8"/>
      <c r="H514" s="2"/>
      <c r="I514" s="2"/>
      <c r="J514" s="2"/>
      <c r="K514" s="1"/>
      <c r="L514" s="1"/>
      <c r="M514" s="1"/>
      <c r="N514" s="1"/>
      <c r="O514" s="1"/>
    </row>
    <row r="515" spans="1:15" ht="15">
      <c r="A515" s="2"/>
      <c r="B515" s="2"/>
      <c r="C515" s="2"/>
      <c r="D515" s="8"/>
      <c r="E515" s="8"/>
      <c r="F515" s="8"/>
      <c r="G515" s="8"/>
      <c r="H515" s="2"/>
      <c r="I515" s="2"/>
      <c r="J515" s="2"/>
      <c r="K515" s="1"/>
      <c r="L515" s="1"/>
      <c r="M515" s="1"/>
      <c r="N515" s="1"/>
      <c r="O515" s="1"/>
    </row>
    <row r="516" spans="1:15" ht="15">
      <c r="A516" s="2"/>
      <c r="B516" s="2"/>
      <c r="C516" s="2"/>
      <c r="D516" s="8"/>
      <c r="E516" s="8"/>
      <c r="F516" s="8"/>
      <c r="G516" s="8"/>
      <c r="H516" s="2"/>
      <c r="I516" s="2"/>
      <c r="J516" s="2"/>
      <c r="K516" s="1"/>
      <c r="L516" s="1"/>
      <c r="M516" s="1"/>
      <c r="N516" s="1"/>
      <c r="O516" s="1"/>
    </row>
    <row r="517" spans="1:15" ht="15">
      <c r="A517" s="2"/>
      <c r="B517" s="2"/>
      <c r="C517" s="2"/>
      <c r="D517" s="8"/>
      <c r="E517" s="8"/>
      <c r="F517" s="8"/>
      <c r="G517" s="8"/>
      <c r="H517" s="2"/>
      <c r="I517" s="2"/>
      <c r="J517" s="2"/>
      <c r="K517" s="1"/>
      <c r="L517" s="1"/>
      <c r="M517" s="1"/>
      <c r="N517" s="1"/>
      <c r="O517" s="1"/>
    </row>
    <row r="518" spans="1:15" ht="15">
      <c r="A518" s="2"/>
      <c r="B518" s="2"/>
      <c r="C518" s="2"/>
      <c r="D518" s="8"/>
      <c r="E518" s="8"/>
      <c r="F518" s="8"/>
      <c r="G518" s="8"/>
      <c r="H518" s="2"/>
      <c r="I518" s="2"/>
      <c r="J518" s="2"/>
      <c r="K518" s="1"/>
      <c r="L518" s="1"/>
      <c r="M518" s="1"/>
      <c r="N518" s="1"/>
      <c r="O518" s="1"/>
    </row>
    <row r="519" spans="1:15" ht="15">
      <c r="A519" s="2"/>
      <c r="B519" s="2"/>
      <c r="C519" s="2"/>
      <c r="D519" s="8"/>
      <c r="E519" s="8"/>
      <c r="F519" s="8"/>
      <c r="G519" s="8"/>
      <c r="H519" s="2"/>
      <c r="I519" s="2"/>
      <c r="J519" s="2"/>
      <c r="K519" s="1"/>
      <c r="L519" s="1"/>
      <c r="M519" s="1"/>
      <c r="N519" s="1"/>
      <c r="O519" s="1"/>
    </row>
    <row r="520" spans="1:15" ht="15">
      <c r="A520" s="2"/>
      <c r="B520" s="2"/>
      <c r="C520" s="2"/>
      <c r="D520" s="8"/>
      <c r="E520" s="8"/>
      <c r="F520" s="8"/>
      <c r="G520" s="8"/>
      <c r="H520" s="2"/>
      <c r="I520" s="2"/>
      <c r="J520" s="2"/>
      <c r="K520" s="1"/>
      <c r="L520" s="1"/>
      <c r="M520" s="1"/>
      <c r="N520" s="1"/>
      <c r="O520" s="1"/>
    </row>
    <row r="521" spans="1:15" ht="15">
      <c r="A521" s="2"/>
      <c r="B521" s="2"/>
      <c r="C521" s="2"/>
      <c r="D521" s="8"/>
      <c r="E521" s="8"/>
      <c r="F521" s="8"/>
      <c r="G521" s="8"/>
      <c r="H521" s="2"/>
      <c r="I521" s="2"/>
      <c r="J521" s="2"/>
      <c r="K521" s="1"/>
      <c r="L521" s="1"/>
      <c r="M521" s="1"/>
      <c r="N521" s="1"/>
      <c r="O521" s="1"/>
    </row>
    <row r="522" spans="1:15" ht="15">
      <c r="A522" s="2"/>
      <c r="B522" s="2"/>
      <c r="C522" s="2"/>
      <c r="D522" s="8"/>
      <c r="E522" s="8"/>
      <c r="F522" s="8"/>
      <c r="G522" s="8"/>
      <c r="H522" s="2"/>
      <c r="I522" s="2"/>
      <c r="J522" s="2"/>
      <c r="K522" s="1"/>
      <c r="L522" s="1"/>
      <c r="M522" s="1"/>
      <c r="N522" s="1"/>
      <c r="O522" s="1"/>
    </row>
    <row r="523" spans="1:15" ht="15">
      <c r="A523" s="2"/>
      <c r="B523" s="2"/>
      <c r="C523" s="2"/>
      <c r="D523" s="8"/>
      <c r="E523" s="8"/>
      <c r="F523" s="8"/>
      <c r="G523" s="8"/>
      <c r="H523" s="2"/>
      <c r="I523" s="2"/>
      <c r="J523" s="2"/>
      <c r="K523" s="1"/>
      <c r="L523" s="1"/>
      <c r="M523" s="1"/>
      <c r="N523" s="1"/>
      <c r="O523" s="1"/>
    </row>
    <row r="524" spans="1:15" ht="15">
      <c r="A524" s="2"/>
      <c r="B524" s="2"/>
      <c r="C524" s="2"/>
      <c r="D524" s="8"/>
      <c r="E524" s="8"/>
      <c r="F524" s="8"/>
      <c r="G524" s="8"/>
      <c r="H524" s="2"/>
      <c r="I524" s="2"/>
      <c r="J524" s="2"/>
      <c r="K524" s="1"/>
      <c r="L524" s="1"/>
      <c r="M524" s="1"/>
      <c r="N524" s="1"/>
      <c r="O524" s="1"/>
    </row>
    <row r="525" spans="1:15" ht="15">
      <c r="A525" s="2"/>
      <c r="B525" s="2"/>
      <c r="C525" s="2"/>
      <c r="D525" s="8"/>
      <c r="E525" s="8"/>
      <c r="F525" s="8"/>
      <c r="G525" s="8"/>
      <c r="H525" s="2"/>
      <c r="I525" s="2"/>
      <c r="J525" s="2"/>
      <c r="K525" s="1"/>
      <c r="L525" s="1"/>
      <c r="M525" s="1"/>
      <c r="N525" s="1"/>
      <c r="O525" s="1"/>
    </row>
    <row r="526" spans="1:15" ht="15">
      <c r="A526" s="2"/>
      <c r="B526" s="2"/>
      <c r="C526" s="2"/>
      <c r="D526" s="8"/>
      <c r="E526" s="8"/>
      <c r="F526" s="8"/>
      <c r="G526" s="8"/>
      <c r="H526" s="2"/>
      <c r="I526" s="2"/>
      <c r="J526" s="2"/>
      <c r="K526" s="1"/>
      <c r="L526" s="1"/>
      <c r="M526" s="1"/>
      <c r="N526" s="1"/>
      <c r="O526" s="1"/>
    </row>
    <row r="527" spans="1:15" ht="15">
      <c r="A527" s="2"/>
      <c r="B527" s="2"/>
      <c r="C527" s="2"/>
      <c r="D527" s="8"/>
      <c r="E527" s="8"/>
      <c r="F527" s="8"/>
      <c r="G527" s="8"/>
      <c r="H527" s="2"/>
      <c r="I527" s="2"/>
      <c r="J527" s="2"/>
      <c r="K527" s="1"/>
      <c r="L527" s="1"/>
      <c r="M527" s="1"/>
      <c r="N527" s="1"/>
      <c r="O527" s="1"/>
    </row>
    <row r="528" spans="1:15" ht="15">
      <c r="A528" s="2"/>
      <c r="B528" s="2"/>
      <c r="C528" s="2"/>
      <c r="D528" s="8"/>
      <c r="E528" s="8"/>
      <c r="F528" s="8"/>
      <c r="G528" s="8"/>
      <c r="H528" s="2"/>
      <c r="I528" s="2"/>
      <c r="J528" s="2"/>
      <c r="K528" s="1"/>
      <c r="L528" s="1"/>
      <c r="M528" s="1"/>
      <c r="N528" s="1"/>
      <c r="O528" s="1"/>
    </row>
    <row r="529" spans="1:15" ht="15">
      <c r="A529" s="2"/>
      <c r="B529" s="2"/>
      <c r="C529" s="2"/>
      <c r="D529" s="8"/>
      <c r="E529" s="8"/>
      <c r="F529" s="8"/>
      <c r="G529" s="8"/>
      <c r="H529" s="2"/>
      <c r="I529" s="2"/>
      <c r="J529" s="2"/>
      <c r="K529" s="1"/>
      <c r="L529" s="1"/>
      <c r="M529" s="1"/>
      <c r="N529" s="1"/>
      <c r="O529" s="1"/>
    </row>
    <row r="530" spans="1:15" ht="15">
      <c r="A530" s="2"/>
      <c r="B530" s="2"/>
      <c r="C530" s="2"/>
      <c r="D530" s="8"/>
      <c r="E530" s="8"/>
      <c r="F530" s="8"/>
      <c r="G530" s="8"/>
      <c r="H530" s="2"/>
      <c r="I530" s="2"/>
      <c r="J530" s="2"/>
      <c r="K530" s="1"/>
      <c r="L530" s="1"/>
      <c r="M530" s="1"/>
      <c r="N530" s="1"/>
      <c r="O530" s="1"/>
    </row>
    <row r="531" spans="1:15" ht="15">
      <c r="A531" s="2"/>
      <c r="B531" s="2"/>
      <c r="C531" s="2"/>
      <c r="D531" s="8"/>
      <c r="E531" s="8"/>
      <c r="F531" s="8"/>
      <c r="G531" s="8"/>
      <c r="H531" s="2"/>
      <c r="I531" s="2"/>
      <c r="J531" s="2"/>
      <c r="K531" s="1"/>
      <c r="L531" s="1"/>
      <c r="M531" s="1"/>
      <c r="N531" s="1"/>
      <c r="O531" s="1"/>
    </row>
    <row r="532" spans="1:15" ht="15">
      <c r="A532" s="2"/>
      <c r="B532" s="2"/>
      <c r="C532" s="2"/>
      <c r="D532" s="8"/>
      <c r="E532" s="8"/>
      <c r="F532" s="8"/>
      <c r="G532" s="8"/>
      <c r="H532" s="2"/>
      <c r="I532" s="2"/>
      <c r="J532" s="2"/>
      <c r="K532" s="1"/>
      <c r="L532" s="1"/>
      <c r="M532" s="1"/>
      <c r="N532" s="1"/>
      <c r="O532" s="1"/>
    </row>
    <row r="533" spans="1:15" ht="15">
      <c r="A533" s="2"/>
      <c r="B533" s="2"/>
      <c r="C533" s="2"/>
      <c r="D533" s="8"/>
      <c r="E533" s="8"/>
      <c r="F533" s="8"/>
      <c r="G533" s="8"/>
      <c r="H533" s="2"/>
      <c r="I533" s="2"/>
      <c r="J533" s="2"/>
      <c r="K533" s="1"/>
      <c r="L533" s="1"/>
      <c r="M533" s="1"/>
      <c r="N533" s="1"/>
      <c r="O533" s="1"/>
    </row>
    <row r="534" spans="1:15" ht="15">
      <c r="A534" s="2"/>
      <c r="B534" s="2"/>
      <c r="C534" s="2"/>
      <c r="D534" s="8"/>
      <c r="E534" s="8"/>
      <c r="F534" s="8"/>
      <c r="G534" s="8"/>
      <c r="H534" s="2"/>
      <c r="I534" s="2"/>
      <c r="J534" s="2"/>
      <c r="K534" s="1"/>
      <c r="L534" s="1"/>
      <c r="M534" s="1"/>
      <c r="N534" s="1"/>
      <c r="O534" s="1"/>
    </row>
    <row r="535" spans="1:15" ht="15">
      <c r="A535" s="2"/>
      <c r="B535" s="2"/>
      <c r="C535" s="2"/>
      <c r="D535" s="8"/>
      <c r="E535" s="8"/>
      <c r="F535" s="8"/>
      <c r="G535" s="8"/>
      <c r="H535" s="2"/>
      <c r="I535" s="2"/>
      <c r="J535" s="2"/>
      <c r="K535" s="1"/>
      <c r="L535" s="1"/>
      <c r="M535" s="1"/>
      <c r="N535" s="1"/>
      <c r="O535" s="1"/>
    </row>
    <row r="536" spans="1:15" ht="15">
      <c r="A536" s="2"/>
      <c r="B536" s="2"/>
      <c r="C536" s="2"/>
      <c r="D536" s="8"/>
      <c r="E536" s="8"/>
      <c r="F536" s="8"/>
      <c r="G536" s="8"/>
      <c r="H536" s="2"/>
      <c r="I536" s="2"/>
      <c r="J536" s="2"/>
      <c r="K536" s="1"/>
      <c r="L536" s="1"/>
      <c r="M536" s="1"/>
      <c r="N536" s="1"/>
      <c r="O536" s="1"/>
    </row>
    <row r="537" spans="1:15" ht="15">
      <c r="A537" s="2"/>
      <c r="B537" s="2"/>
      <c r="C537" s="2"/>
      <c r="D537" s="8"/>
      <c r="E537" s="8"/>
      <c r="F537" s="8"/>
      <c r="G537" s="8"/>
      <c r="H537" s="2"/>
      <c r="I537" s="2"/>
      <c r="J537" s="2"/>
      <c r="K537" s="1"/>
      <c r="L537" s="1"/>
      <c r="M537" s="1"/>
      <c r="N537" s="1"/>
      <c r="O537" s="1"/>
    </row>
    <row r="538" spans="1:15" ht="15">
      <c r="A538" s="2"/>
      <c r="B538" s="2"/>
      <c r="C538" s="2"/>
      <c r="D538" s="8"/>
      <c r="E538" s="8"/>
      <c r="F538" s="8"/>
      <c r="G538" s="8"/>
      <c r="H538" s="2"/>
      <c r="I538" s="2"/>
      <c r="J538" s="2"/>
      <c r="K538" s="1"/>
      <c r="L538" s="1"/>
      <c r="M538" s="1"/>
      <c r="N538" s="1"/>
      <c r="O538" s="1"/>
    </row>
    <row r="539" spans="1:15" ht="15">
      <c r="A539" s="2"/>
      <c r="B539" s="2"/>
      <c r="C539" s="2"/>
      <c r="D539" s="8"/>
      <c r="E539" s="8"/>
      <c r="F539" s="8"/>
      <c r="G539" s="8"/>
      <c r="H539" s="2"/>
      <c r="I539" s="2"/>
      <c r="J539" s="2"/>
      <c r="K539" s="1"/>
      <c r="L539" s="1"/>
      <c r="M539" s="1"/>
      <c r="N539" s="1"/>
      <c r="O539" s="1"/>
    </row>
    <row r="540" spans="1:15" ht="15">
      <c r="A540" s="2"/>
      <c r="B540" s="2"/>
      <c r="C540" s="2"/>
      <c r="D540" s="8"/>
      <c r="E540" s="8"/>
      <c r="F540" s="8"/>
      <c r="G540" s="8"/>
      <c r="H540" s="2"/>
      <c r="I540" s="2"/>
      <c r="J540" s="2"/>
      <c r="K540" s="1"/>
      <c r="L540" s="1"/>
      <c r="M540" s="1"/>
      <c r="N540" s="1"/>
      <c r="O540" s="1"/>
    </row>
    <row r="541" spans="1:15" ht="15">
      <c r="A541" s="2"/>
      <c r="B541" s="2"/>
      <c r="C541" s="2"/>
      <c r="D541" s="8"/>
      <c r="E541" s="8"/>
      <c r="F541" s="8"/>
      <c r="G541" s="8"/>
      <c r="H541" s="2"/>
      <c r="I541" s="2"/>
      <c r="J541" s="2"/>
      <c r="K541" s="1"/>
      <c r="L541" s="1"/>
      <c r="M541" s="1"/>
      <c r="N541" s="1"/>
      <c r="O541" s="1"/>
    </row>
    <row r="542" spans="1:15" ht="15">
      <c r="A542" s="2"/>
      <c r="B542" s="2"/>
      <c r="C542" s="2"/>
      <c r="D542" s="8"/>
      <c r="E542" s="8"/>
      <c r="F542" s="8"/>
      <c r="G542" s="8"/>
      <c r="H542" s="2"/>
      <c r="I542" s="2"/>
      <c r="J542" s="2"/>
      <c r="K542" s="1"/>
      <c r="L542" s="1"/>
      <c r="M542" s="1"/>
      <c r="N542" s="1"/>
      <c r="O542" s="1"/>
    </row>
    <row r="543" spans="1:15" ht="15">
      <c r="A543" s="2"/>
      <c r="B543" s="2"/>
      <c r="C543" s="2"/>
      <c r="D543" s="8"/>
      <c r="E543" s="8"/>
      <c r="F543" s="8"/>
      <c r="G543" s="8"/>
      <c r="H543" s="2"/>
      <c r="I543" s="2"/>
      <c r="J543" s="2"/>
      <c r="K543" s="1"/>
      <c r="L543" s="1"/>
      <c r="M543" s="1"/>
      <c r="N543" s="1"/>
      <c r="O543" s="1"/>
    </row>
    <row r="544" spans="1:15" ht="15">
      <c r="A544" s="2"/>
      <c r="B544" s="2"/>
      <c r="C544" s="2"/>
      <c r="D544" s="8"/>
      <c r="E544" s="8"/>
      <c r="F544" s="8"/>
      <c r="G544" s="8"/>
      <c r="H544" s="2"/>
      <c r="I544" s="2"/>
      <c r="J544" s="2"/>
      <c r="K544" s="1"/>
      <c r="L544" s="1"/>
      <c r="M544" s="1"/>
      <c r="N544" s="1"/>
      <c r="O544" s="1"/>
    </row>
    <row r="545" spans="1:15" ht="15">
      <c r="A545" s="2"/>
      <c r="B545" s="2"/>
      <c r="C545" s="2"/>
      <c r="D545" s="8"/>
      <c r="E545" s="8"/>
      <c r="F545" s="8"/>
      <c r="G545" s="8"/>
      <c r="H545" s="2"/>
      <c r="I545" s="2"/>
      <c r="J545" s="2"/>
      <c r="K545" s="1"/>
      <c r="L545" s="1"/>
      <c r="M545" s="1"/>
      <c r="N545" s="1"/>
      <c r="O545" s="1"/>
    </row>
    <row r="546" spans="1:15" ht="15">
      <c r="A546" s="2"/>
      <c r="B546" s="2"/>
      <c r="C546" s="2"/>
      <c r="D546" s="8"/>
      <c r="E546" s="8"/>
      <c r="F546" s="8"/>
      <c r="G546" s="8"/>
      <c r="H546" s="2"/>
      <c r="I546" s="2"/>
      <c r="J546" s="2"/>
      <c r="K546" s="1"/>
      <c r="L546" s="1"/>
      <c r="M546" s="1"/>
      <c r="N546" s="1"/>
      <c r="O546" s="1"/>
    </row>
    <row r="547" spans="1:15" ht="15">
      <c r="A547" s="2"/>
      <c r="B547" s="2"/>
      <c r="C547" s="2"/>
      <c r="D547" s="8"/>
      <c r="E547" s="8"/>
      <c r="F547" s="8"/>
      <c r="G547" s="8"/>
      <c r="H547" s="2"/>
      <c r="I547" s="2"/>
      <c r="J547" s="2"/>
      <c r="K547" s="1"/>
      <c r="L547" s="1"/>
      <c r="M547" s="1"/>
      <c r="N547" s="1"/>
      <c r="O547" s="1"/>
    </row>
    <row r="548" spans="1:15" ht="15">
      <c r="A548" s="2"/>
      <c r="B548" s="2"/>
      <c r="C548" s="2"/>
      <c r="D548" s="8"/>
      <c r="E548" s="8"/>
      <c r="F548" s="8"/>
      <c r="G548" s="8"/>
      <c r="H548" s="2"/>
      <c r="I548" s="2"/>
      <c r="J548" s="2"/>
      <c r="K548" s="1"/>
      <c r="L548" s="1"/>
      <c r="M548" s="1"/>
      <c r="N548" s="1"/>
      <c r="O548" s="1"/>
    </row>
    <row r="549" spans="1:15" ht="15">
      <c r="A549" s="2"/>
      <c r="B549" s="2"/>
      <c r="C549" s="2"/>
      <c r="D549" s="8"/>
      <c r="E549" s="8"/>
      <c r="F549" s="8"/>
      <c r="G549" s="8"/>
      <c r="H549" s="2"/>
      <c r="I549" s="2"/>
      <c r="J549" s="2"/>
      <c r="K549" s="1"/>
      <c r="L549" s="1"/>
      <c r="M549" s="1"/>
      <c r="N549" s="1"/>
      <c r="O549" s="1"/>
    </row>
    <row r="550" spans="1:15" ht="15">
      <c r="A550" s="2"/>
      <c r="B550" s="2"/>
      <c r="C550" s="2"/>
      <c r="D550" s="8"/>
      <c r="E550" s="8"/>
      <c r="F550" s="8"/>
      <c r="G550" s="8"/>
      <c r="H550" s="2"/>
      <c r="I550" s="2"/>
      <c r="J550" s="2"/>
      <c r="K550" s="1"/>
      <c r="L550" s="1"/>
      <c r="M550" s="1"/>
      <c r="N550" s="1"/>
      <c r="O550" s="1"/>
    </row>
    <row r="551" spans="1:15" ht="15">
      <c r="A551" s="2"/>
      <c r="B551" s="2"/>
      <c r="C551" s="2"/>
      <c r="D551" s="8"/>
      <c r="E551" s="8"/>
      <c r="F551" s="8"/>
      <c r="G551" s="8"/>
      <c r="H551" s="2"/>
      <c r="I551" s="2"/>
      <c r="J551" s="2"/>
      <c r="K551" s="1"/>
      <c r="L551" s="1"/>
      <c r="M551" s="1"/>
      <c r="N551" s="1"/>
      <c r="O551" s="1"/>
    </row>
    <row r="552" spans="1:15" ht="15">
      <c r="A552" s="2"/>
      <c r="B552" s="2"/>
      <c r="C552" s="2"/>
      <c r="D552" s="8"/>
      <c r="E552" s="8"/>
      <c r="F552" s="8"/>
      <c r="G552" s="8"/>
      <c r="H552" s="2"/>
      <c r="I552" s="2"/>
      <c r="J552" s="2"/>
      <c r="K552" s="1"/>
      <c r="L552" s="1"/>
      <c r="M552" s="1"/>
      <c r="N552" s="1"/>
      <c r="O552" s="1"/>
    </row>
    <row r="553" spans="1:15" ht="15">
      <c r="A553" s="2"/>
      <c r="B553" s="2"/>
      <c r="C553" s="2"/>
      <c r="D553" s="8"/>
      <c r="E553" s="8"/>
      <c r="F553" s="8"/>
      <c r="G553" s="8"/>
      <c r="H553" s="2"/>
      <c r="I553" s="2"/>
      <c r="J553" s="2"/>
      <c r="K553" s="1"/>
      <c r="L553" s="1"/>
      <c r="M553" s="1"/>
      <c r="N553" s="1"/>
      <c r="O553" s="1"/>
    </row>
    <row r="554" spans="1:15" ht="15">
      <c r="A554" s="2"/>
      <c r="B554" s="2"/>
      <c r="C554" s="2"/>
      <c r="D554" s="8"/>
      <c r="E554" s="8"/>
      <c r="F554" s="8"/>
      <c r="G554" s="8"/>
      <c r="H554" s="2"/>
      <c r="I554" s="2"/>
      <c r="J554" s="2"/>
      <c r="K554" s="1"/>
      <c r="L554" s="1"/>
      <c r="M554" s="1"/>
      <c r="N554" s="1"/>
      <c r="O554" s="1"/>
    </row>
    <row r="555" spans="1:15" ht="15">
      <c r="A555" s="2"/>
      <c r="B555" s="2"/>
      <c r="C555" s="2"/>
      <c r="D555" s="8"/>
      <c r="E555" s="8"/>
      <c r="F555" s="8"/>
      <c r="G555" s="8"/>
      <c r="H555" s="2"/>
      <c r="I555" s="2"/>
      <c r="J555" s="2"/>
      <c r="K555" s="1"/>
      <c r="L555" s="1"/>
      <c r="M555" s="1"/>
      <c r="N555" s="1"/>
      <c r="O555" s="1"/>
    </row>
    <row r="556" spans="1:15" ht="15">
      <c r="A556" s="2"/>
      <c r="B556" s="2"/>
      <c r="C556" s="2"/>
      <c r="D556" s="8"/>
      <c r="E556" s="8"/>
      <c r="F556" s="8"/>
      <c r="G556" s="8"/>
      <c r="H556" s="2"/>
      <c r="I556" s="2"/>
      <c r="J556" s="2"/>
      <c r="K556" s="1"/>
      <c r="L556" s="1"/>
      <c r="M556" s="1"/>
      <c r="N556" s="1"/>
      <c r="O556" s="1"/>
    </row>
    <row r="557" spans="1:15" ht="15">
      <c r="A557" s="2"/>
      <c r="B557" s="2"/>
      <c r="C557" s="2"/>
      <c r="D557" s="8"/>
      <c r="E557" s="8"/>
      <c r="F557" s="8"/>
      <c r="G557" s="8"/>
      <c r="H557" s="2"/>
      <c r="I557" s="2"/>
      <c r="J557" s="2"/>
      <c r="K557" s="1"/>
      <c r="L557" s="1"/>
      <c r="M557" s="1"/>
      <c r="N557" s="1"/>
      <c r="O557" s="1"/>
    </row>
    <row r="558" spans="1:15" ht="15">
      <c r="A558" s="2"/>
      <c r="B558" s="2"/>
      <c r="C558" s="2"/>
      <c r="D558" s="8"/>
      <c r="E558" s="8"/>
      <c r="F558" s="8"/>
      <c r="G558" s="8"/>
      <c r="H558" s="2"/>
      <c r="I558" s="2"/>
      <c r="J558" s="2"/>
      <c r="K558" s="1"/>
      <c r="L558" s="1"/>
      <c r="M558" s="1"/>
      <c r="N558" s="1"/>
      <c r="O558" s="1"/>
    </row>
    <row r="559" spans="1:15" ht="15">
      <c r="A559" s="2"/>
      <c r="B559" s="2"/>
      <c r="C559" s="2"/>
      <c r="D559" s="8"/>
      <c r="E559" s="8"/>
      <c r="F559" s="8"/>
      <c r="G559" s="8"/>
      <c r="H559" s="2"/>
      <c r="I559" s="2"/>
      <c r="J559" s="2"/>
      <c r="K559" s="1"/>
      <c r="L559" s="1"/>
      <c r="M559" s="1"/>
      <c r="N559" s="1"/>
      <c r="O559" s="1"/>
    </row>
    <row r="560" spans="1:15" ht="15">
      <c r="A560" s="2"/>
      <c r="B560" s="2"/>
      <c r="C560" s="2"/>
      <c r="D560" s="8"/>
      <c r="E560" s="8"/>
      <c r="F560" s="8"/>
      <c r="G560" s="8"/>
      <c r="H560" s="2"/>
      <c r="I560" s="2"/>
      <c r="J560" s="2"/>
      <c r="K560" s="1"/>
      <c r="L560" s="1"/>
      <c r="M560" s="1"/>
      <c r="N560" s="1"/>
      <c r="O560" s="1"/>
    </row>
    <row r="561" spans="1:15" ht="15">
      <c r="A561" s="2"/>
      <c r="B561" s="2"/>
      <c r="C561" s="2"/>
      <c r="D561" s="8"/>
      <c r="E561" s="8"/>
      <c r="F561" s="8"/>
      <c r="G561" s="8"/>
      <c r="H561" s="2"/>
      <c r="I561" s="2"/>
      <c r="J561" s="2"/>
      <c r="K561" s="1"/>
      <c r="L561" s="1"/>
      <c r="M561" s="1"/>
      <c r="N561" s="1"/>
      <c r="O561" s="1"/>
    </row>
    <row r="562" spans="1:15" ht="15">
      <c r="A562" s="2"/>
      <c r="B562" s="2"/>
      <c r="C562" s="2"/>
      <c r="D562" s="8"/>
      <c r="E562" s="8"/>
      <c r="F562" s="8"/>
      <c r="G562" s="8"/>
      <c r="H562" s="2"/>
      <c r="I562" s="2"/>
      <c r="J562" s="2"/>
      <c r="K562" s="1"/>
      <c r="L562" s="1"/>
      <c r="M562" s="1"/>
      <c r="N562" s="1"/>
      <c r="O562" s="1"/>
    </row>
    <row r="563" spans="1:15" ht="15">
      <c r="A563" s="2"/>
      <c r="B563" s="2"/>
      <c r="C563" s="2"/>
      <c r="D563" s="8"/>
      <c r="E563" s="8"/>
      <c r="F563" s="8"/>
      <c r="G563" s="8"/>
      <c r="H563" s="2"/>
      <c r="I563" s="2"/>
      <c r="J563" s="2"/>
      <c r="K563" s="1"/>
      <c r="L563" s="1"/>
      <c r="M563" s="1"/>
      <c r="N563" s="1"/>
      <c r="O563" s="1"/>
    </row>
    <row r="564" spans="1:15" ht="15">
      <c r="A564" s="2"/>
      <c r="B564" s="2"/>
      <c r="C564" s="2"/>
      <c r="D564" s="8"/>
      <c r="E564" s="8"/>
      <c r="F564" s="8"/>
      <c r="G564" s="8"/>
      <c r="H564" s="2"/>
      <c r="I564" s="2"/>
      <c r="J564" s="2"/>
      <c r="K564" s="1"/>
      <c r="L564" s="1"/>
      <c r="M564" s="1"/>
      <c r="N564" s="1"/>
      <c r="O564" s="1"/>
    </row>
    <row r="565" spans="1:15" ht="15">
      <c r="A565" s="2"/>
      <c r="B565" s="2"/>
      <c r="C565" s="2"/>
      <c r="D565" s="8"/>
      <c r="E565" s="8"/>
      <c r="F565" s="8"/>
      <c r="G565" s="8"/>
      <c r="H565" s="2"/>
      <c r="I565" s="2"/>
      <c r="J565" s="2"/>
      <c r="K565" s="1"/>
      <c r="L565" s="1"/>
      <c r="M565" s="1"/>
      <c r="N565" s="1"/>
      <c r="O565" s="1"/>
    </row>
    <row r="566" spans="1:15" ht="15">
      <c r="A566" s="2"/>
      <c r="B566" s="2"/>
      <c r="C566" s="2"/>
      <c r="D566" s="8"/>
      <c r="E566" s="8"/>
      <c r="F566" s="8"/>
      <c r="G566" s="8"/>
      <c r="H566" s="2"/>
      <c r="I566" s="2"/>
      <c r="J566" s="2"/>
      <c r="K566" s="1"/>
      <c r="L566" s="1"/>
      <c r="M566" s="1"/>
      <c r="N566" s="1"/>
      <c r="O566" s="1"/>
    </row>
    <row r="567" spans="1:15" ht="15">
      <c r="A567" s="2"/>
      <c r="B567" s="2"/>
      <c r="C567" s="2"/>
      <c r="D567" s="8"/>
      <c r="E567" s="8"/>
      <c r="F567" s="8"/>
      <c r="G567" s="8"/>
      <c r="H567" s="2"/>
      <c r="I567" s="2"/>
      <c r="J567" s="2"/>
      <c r="K567" s="1"/>
      <c r="L567" s="1"/>
      <c r="M567" s="1"/>
      <c r="N567" s="1"/>
      <c r="O567" s="1"/>
    </row>
    <row r="568" spans="1:15" ht="15">
      <c r="A568" s="2"/>
      <c r="B568" s="2"/>
      <c r="C568" s="2"/>
      <c r="D568" s="8"/>
      <c r="E568" s="8"/>
      <c r="F568" s="8"/>
      <c r="G568" s="8"/>
      <c r="H568" s="2"/>
      <c r="I568" s="2"/>
      <c r="J568" s="2"/>
      <c r="K568" s="1"/>
      <c r="L568" s="1"/>
      <c r="M568" s="1"/>
      <c r="N568" s="1"/>
      <c r="O568" s="1"/>
    </row>
    <row r="569" spans="1:15" ht="15">
      <c r="A569" s="2"/>
      <c r="B569" s="2"/>
      <c r="C569" s="2"/>
      <c r="D569" s="8"/>
      <c r="E569" s="8"/>
      <c r="F569" s="8"/>
      <c r="G569" s="8"/>
      <c r="H569" s="2"/>
      <c r="I569" s="2"/>
      <c r="J569" s="2"/>
      <c r="K569" s="1"/>
      <c r="L569" s="1"/>
      <c r="M569" s="1"/>
      <c r="N569" s="1"/>
      <c r="O569" s="1"/>
    </row>
    <row r="570" spans="1:15" ht="15">
      <c r="A570" s="2"/>
      <c r="B570" s="2"/>
      <c r="C570" s="2"/>
      <c r="D570" s="8"/>
      <c r="E570" s="8"/>
      <c r="F570" s="8"/>
      <c r="G570" s="8"/>
      <c r="H570" s="2"/>
      <c r="I570" s="2"/>
      <c r="J570" s="2"/>
      <c r="K570" s="1"/>
      <c r="L570" s="1"/>
      <c r="M570" s="1"/>
      <c r="N570" s="1"/>
      <c r="O570" s="1"/>
    </row>
    <row r="571" spans="1:15" ht="15">
      <c r="A571" s="2"/>
      <c r="B571" s="2"/>
      <c r="C571" s="2"/>
      <c r="D571" s="8"/>
      <c r="E571" s="8"/>
      <c r="F571" s="8"/>
      <c r="G571" s="8"/>
      <c r="H571" s="2"/>
      <c r="I571" s="2"/>
      <c r="J571" s="2"/>
      <c r="K571" s="1"/>
      <c r="L571" s="1"/>
      <c r="M571" s="1"/>
      <c r="N571" s="1"/>
      <c r="O571" s="1"/>
    </row>
    <row r="572" spans="1:15" ht="15">
      <c r="A572" s="2"/>
      <c r="B572" s="2"/>
      <c r="C572" s="2"/>
      <c r="D572" s="8"/>
      <c r="E572" s="8"/>
      <c r="F572" s="8"/>
      <c r="G572" s="8"/>
      <c r="H572" s="2"/>
      <c r="I572" s="2"/>
      <c r="J572" s="2"/>
      <c r="K572" s="1"/>
      <c r="L572" s="1"/>
      <c r="M572" s="1"/>
      <c r="N572" s="1"/>
      <c r="O572" s="1"/>
    </row>
    <row r="573" spans="1:1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1"/>
      <c r="O573" s="1"/>
    </row>
    <row r="574" spans="1:1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1"/>
      <c r="O574" s="1"/>
    </row>
    <row r="575" spans="1:1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1"/>
      <c r="O575" s="1"/>
    </row>
    <row r="576" spans="1:1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1"/>
      <c r="O576" s="1"/>
    </row>
    <row r="577" spans="1:1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1"/>
      <c r="O577" s="1"/>
    </row>
    <row r="578" spans="1:1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1"/>
      <c r="O578" s="1"/>
    </row>
    <row r="579" spans="1:1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1"/>
      <c r="O579" s="1"/>
    </row>
    <row r="580" spans="1:1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1"/>
      <c r="O580" s="1"/>
    </row>
    <row r="581" spans="1:1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1"/>
      <c r="O581" s="1"/>
    </row>
    <row r="582" spans="1:1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1"/>
      <c r="O582" s="1"/>
    </row>
    <row r="583" spans="1:1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1"/>
      <c r="O583" s="1"/>
    </row>
    <row r="584" spans="1:1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1"/>
      <c r="O584" s="1"/>
    </row>
    <row r="585" spans="1:1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1"/>
      <c r="O585" s="1"/>
    </row>
    <row r="586" spans="1:1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1"/>
      <c r="O586" s="1"/>
    </row>
    <row r="587" spans="1:1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1"/>
      <c r="O587" s="1"/>
    </row>
    <row r="588" spans="1:1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1"/>
      <c r="O588" s="1"/>
    </row>
    <row r="589" spans="1:1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1"/>
      <c r="O589" s="1"/>
    </row>
    <row r="590" spans="1:1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1"/>
      <c r="O590" s="1"/>
    </row>
    <row r="591" spans="1:1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1"/>
      <c r="O591" s="1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1"/>
      <c r="O592" s="1"/>
    </row>
    <row r="593" spans="1:1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1"/>
      <c r="O593" s="1"/>
    </row>
    <row r="594" spans="1:1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1"/>
      <c r="O594" s="1"/>
    </row>
    <row r="595" spans="1:1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1"/>
      <c r="O595" s="1"/>
    </row>
    <row r="596" spans="1:1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1"/>
      <c r="O596" s="1"/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1"/>
      <c r="O597" s="1"/>
    </row>
    <row r="598" spans="1:1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1"/>
      <c r="O598" s="1"/>
    </row>
    <row r="599" spans="1:1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1"/>
      <c r="O599" s="1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1"/>
      <c r="O600" s="1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1"/>
      <c r="O601" s="1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1"/>
      <c r="O602" s="1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1"/>
      <c r="O603" s="1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1"/>
      <c r="O604" s="1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1"/>
      <c r="O605" s="1"/>
    </row>
    <row r="606" spans="1:1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1"/>
      <c r="O606" s="1"/>
    </row>
    <row r="607" spans="1:1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1"/>
      <c r="O607" s="1"/>
    </row>
    <row r="608" spans="1:1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1"/>
      <c r="O608" s="1"/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1"/>
      <c r="O609" s="1"/>
    </row>
    <row r="610" spans="1:1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1"/>
      <c r="O610" s="1"/>
    </row>
    <row r="611" spans="1:1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1"/>
      <c r="O611" s="1"/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1"/>
      <c r="O612" s="1"/>
    </row>
    <row r="613" spans="1:1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1"/>
      <c r="O613" s="1"/>
    </row>
    <row r="614" spans="1:1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1"/>
      <c r="O614" s="1"/>
    </row>
    <row r="615" spans="1:1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1"/>
      <c r="O615" s="1"/>
    </row>
    <row r="616" spans="1:1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1"/>
      <c r="O616" s="1"/>
    </row>
    <row r="617" spans="1:1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1"/>
      <c r="O617" s="1"/>
    </row>
    <row r="618" spans="1:1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1"/>
      <c r="O618" s="1"/>
    </row>
    <row r="619" spans="1:1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1"/>
      <c r="O619" s="1"/>
    </row>
    <row r="620" spans="1:1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1"/>
      <c r="O620" s="1"/>
    </row>
    <row r="621" spans="1:1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1"/>
      <c r="O621" s="1"/>
    </row>
    <row r="622" spans="1:1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1"/>
      <c r="O622" s="1"/>
    </row>
    <row r="623" spans="1:1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1"/>
      <c r="O623" s="1"/>
    </row>
    <row r="624" spans="1:1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1"/>
      <c r="O624" s="1"/>
    </row>
    <row r="625" spans="1:1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1"/>
      <c r="O625" s="1"/>
    </row>
    <row r="626" spans="1:1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1"/>
      <c r="O626" s="1"/>
    </row>
    <row r="627" spans="1:1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1"/>
      <c r="O627" s="1"/>
    </row>
    <row r="628" spans="1:1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1"/>
      <c r="O628" s="1"/>
    </row>
    <row r="629" spans="1:1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1"/>
      <c r="O629" s="1"/>
    </row>
    <row r="630" spans="1:1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1"/>
      <c r="O630" s="1"/>
    </row>
    <row r="631" spans="1:1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1"/>
      <c r="O631" s="1"/>
    </row>
    <row r="632" spans="1:1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1"/>
      <c r="O632" s="1"/>
    </row>
    <row r="633" spans="1:1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1"/>
      <c r="O633" s="1"/>
    </row>
    <row r="634" spans="1:1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1"/>
      <c r="O634" s="1"/>
    </row>
    <row r="635" spans="1:1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1"/>
      <c r="O635" s="1"/>
    </row>
    <row r="636" spans="1:1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1"/>
      <c r="O636" s="1"/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1"/>
      <c r="O637" s="1"/>
    </row>
    <row r="638" spans="1:1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1"/>
      <c r="O638" s="1"/>
    </row>
    <row r="639" spans="1:1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1"/>
      <c r="O639" s="1"/>
    </row>
    <row r="640" spans="1:1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1"/>
      <c r="O640" s="1"/>
    </row>
    <row r="641" spans="1:1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1"/>
      <c r="O641" s="1"/>
    </row>
    <row r="642" spans="1:1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1"/>
      <c r="O642" s="1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1"/>
      <c r="O643" s="1"/>
    </row>
    <row r="644" spans="1:1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1"/>
      <c r="O644" s="1"/>
    </row>
    <row r="645" spans="1:1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1"/>
      <c r="O645" s="1"/>
    </row>
    <row r="646" spans="1:1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1"/>
      <c r="O646" s="1"/>
    </row>
    <row r="647" spans="1:1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1"/>
      <c r="O647" s="1"/>
    </row>
    <row r="648" spans="1:1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1"/>
      <c r="O648" s="1"/>
    </row>
    <row r="649" spans="1:1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1"/>
      <c r="O649" s="1"/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1"/>
      <c r="O650" s="1"/>
    </row>
    <row r="651" spans="1:1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1"/>
      <c r="O651" s="1"/>
    </row>
    <row r="652" spans="1:1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1"/>
      <c r="O652" s="1"/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1"/>
      <c r="O653" s="1"/>
    </row>
    <row r="654" spans="1:1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1"/>
      <c r="O654" s="1"/>
    </row>
    <row r="655" spans="1:1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1"/>
      <c r="O655" s="1"/>
    </row>
    <row r="656" spans="1:1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1"/>
      <c r="O656" s="1"/>
    </row>
    <row r="657" spans="1:1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1"/>
      <c r="O657" s="1"/>
    </row>
    <row r="658" spans="1:1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1"/>
      <c r="O658" s="1"/>
    </row>
    <row r="659" spans="1:1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1"/>
      <c r="O659" s="1"/>
    </row>
    <row r="660" spans="1:1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1"/>
      <c r="O660" s="1"/>
    </row>
    <row r="661" spans="1:1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1"/>
      <c r="O661" s="1"/>
    </row>
    <row r="662" spans="1:1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1"/>
      <c r="O662" s="1"/>
    </row>
    <row r="663" spans="1:1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1"/>
      <c r="O663" s="1"/>
    </row>
    <row r="664" spans="1:1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1"/>
      <c r="O664" s="1"/>
    </row>
    <row r="665" spans="1:1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1"/>
      <c r="O665" s="1"/>
    </row>
    <row r="666" spans="1:1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1"/>
      <c r="O666" s="1"/>
    </row>
    <row r="667" spans="1:1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1"/>
      <c r="O667" s="1"/>
    </row>
    <row r="668" spans="1:1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1"/>
      <c r="O668" s="1"/>
    </row>
    <row r="669" spans="1:1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1"/>
      <c r="O669" s="1"/>
    </row>
    <row r="670" spans="1:1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1"/>
      <c r="O670" s="1"/>
    </row>
    <row r="671" spans="1:1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1"/>
      <c r="O671" s="1"/>
    </row>
    <row r="672" spans="1:1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1"/>
      <c r="O672" s="1"/>
    </row>
    <row r="673" spans="1:1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1"/>
      <c r="O673" s="1"/>
    </row>
    <row r="674" spans="1:1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1"/>
      <c r="O674" s="1"/>
    </row>
    <row r="675" spans="1:1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1"/>
      <c r="O675" s="1"/>
    </row>
    <row r="676" spans="1:1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1"/>
      <c r="O676" s="1"/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1"/>
      <c r="O677" s="1"/>
    </row>
    <row r="678" spans="1:1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1"/>
      <c r="O678" s="1"/>
    </row>
    <row r="679" spans="1:1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1"/>
      <c r="O679" s="1"/>
    </row>
    <row r="680" spans="1:1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1"/>
      <c r="O680" s="1"/>
    </row>
    <row r="681" spans="1:1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1"/>
      <c r="O681" s="1"/>
    </row>
    <row r="682" spans="1:1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1"/>
      <c r="O682" s="1"/>
    </row>
    <row r="683" spans="1:1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1"/>
      <c r="O683" s="1"/>
    </row>
    <row r="684" spans="1:1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1"/>
      <c r="O684" s="1"/>
    </row>
    <row r="685" spans="1:1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1"/>
      <c r="O685" s="1"/>
    </row>
    <row r="686" spans="1:1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1"/>
      <c r="O686" s="1"/>
    </row>
    <row r="687" spans="1:1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1"/>
      <c r="O687" s="1"/>
    </row>
    <row r="688" spans="1:1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1"/>
      <c r="O688" s="1"/>
    </row>
    <row r="689" spans="1:1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1"/>
      <c r="O689" s="1"/>
    </row>
    <row r="690" spans="1:1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1"/>
      <c r="O690" s="1"/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1"/>
      <c r="O691" s="1"/>
    </row>
    <row r="692" spans="1:1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1"/>
      <c r="O692" s="1"/>
    </row>
    <row r="693" spans="1:1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1"/>
      <c r="O693" s="1"/>
    </row>
    <row r="694" spans="1:1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1"/>
      <c r="O694" s="1"/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1"/>
      <c r="O695" s="1"/>
    </row>
    <row r="696" spans="1:1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1"/>
      <c r="O696" s="1"/>
    </row>
    <row r="697" spans="1:1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1"/>
      <c r="O697" s="1"/>
    </row>
    <row r="698" spans="1:1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1"/>
      <c r="O698" s="1"/>
    </row>
    <row r="699" spans="1:1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1"/>
      <c r="O699" s="1"/>
    </row>
    <row r="700" spans="1:1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1"/>
      <c r="O700" s="1"/>
    </row>
    <row r="701" spans="1:1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1"/>
      <c r="O701" s="1"/>
    </row>
    <row r="702" spans="1:1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1"/>
      <c r="O702" s="1"/>
    </row>
    <row r="703" spans="1:1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1"/>
      <c r="O703" s="1"/>
    </row>
    <row r="704" spans="1:1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1"/>
      <c r="O704" s="1"/>
    </row>
    <row r="705" spans="1:1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1"/>
      <c r="O705" s="1"/>
    </row>
    <row r="706" spans="1:1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1"/>
      <c r="O706" s="1"/>
    </row>
    <row r="707" spans="1:1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1"/>
      <c r="O707" s="1"/>
    </row>
    <row r="708" spans="1:1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1"/>
      <c r="O708" s="1"/>
    </row>
    <row r="709" spans="1:1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1"/>
      <c r="O709" s="1"/>
    </row>
    <row r="710" spans="1:1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1"/>
      <c r="O710" s="1"/>
    </row>
    <row r="711" spans="1:1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1"/>
      <c r="O711" s="1"/>
    </row>
    <row r="712" spans="1:1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1"/>
      <c r="O712" s="1"/>
    </row>
    <row r="713" spans="1:1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1"/>
      <c r="O713" s="1"/>
    </row>
    <row r="714" spans="1:1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1"/>
      <c r="O714" s="1"/>
    </row>
    <row r="715" spans="1:1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1"/>
      <c r="O715" s="1"/>
    </row>
    <row r="716" spans="1:1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1"/>
      <c r="O716" s="1"/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1"/>
      <c r="O717" s="1"/>
    </row>
    <row r="718" spans="1:1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1"/>
      <c r="O718" s="1"/>
    </row>
    <row r="719" spans="1:1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1"/>
      <c r="O719" s="1"/>
    </row>
    <row r="720" spans="1:1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1"/>
      <c r="O720" s="1"/>
    </row>
    <row r="721" spans="1:1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1"/>
      <c r="O721" s="1"/>
    </row>
    <row r="722" spans="1:1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1"/>
      <c r="O722" s="1"/>
    </row>
    <row r="723" spans="1:1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1"/>
      <c r="O723" s="1"/>
    </row>
    <row r="724" spans="1:1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1"/>
      <c r="O724" s="1"/>
    </row>
    <row r="725" spans="1:1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1"/>
      <c r="O725" s="1"/>
    </row>
    <row r="726" spans="1:1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1"/>
      <c r="O726" s="1"/>
    </row>
    <row r="727" spans="1:1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1"/>
      <c r="O727" s="1"/>
    </row>
    <row r="728" spans="1:1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1"/>
      <c r="O728" s="1"/>
    </row>
    <row r="729" spans="1:1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1"/>
      <c r="O729" s="1"/>
    </row>
    <row r="730" spans="1:1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1"/>
      <c r="O730" s="1"/>
    </row>
    <row r="731" spans="1:1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1"/>
      <c r="O731" s="1"/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1"/>
      <c r="O732" s="1"/>
    </row>
    <row r="733" spans="1:1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1"/>
      <c r="O733" s="1"/>
    </row>
    <row r="734" spans="1:1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1"/>
      <c r="O734" s="1"/>
    </row>
    <row r="735" spans="1:1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1"/>
      <c r="O735" s="1"/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1"/>
      <c r="O736" s="1"/>
    </row>
    <row r="737" spans="1:1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1"/>
      <c r="O737" s="1"/>
    </row>
    <row r="738" spans="1:1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1"/>
      <c r="O738" s="1"/>
    </row>
    <row r="739" spans="1:1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1"/>
      <c r="O739" s="1"/>
    </row>
    <row r="740" spans="1:1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1"/>
      <c r="O740" s="1"/>
    </row>
    <row r="741" spans="1:1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1"/>
      <c r="O741" s="1"/>
    </row>
    <row r="742" spans="1:1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1"/>
      <c r="O742" s="1"/>
    </row>
    <row r="743" spans="1:1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1"/>
      <c r="O743" s="1"/>
    </row>
    <row r="744" spans="1:1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1"/>
      <c r="O744" s="1"/>
    </row>
    <row r="745" spans="1:1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1"/>
      <c r="O745" s="1"/>
    </row>
    <row r="746" spans="1:1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1"/>
      <c r="O746" s="1"/>
    </row>
    <row r="747" spans="1:1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1"/>
      <c r="O747" s="1"/>
    </row>
    <row r="748" spans="1:1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1"/>
      <c r="O748" s="1"/>
    </row>
    <row r="749" spans="1:1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1"/>
      <c r="O749" s="1"/>
    </row>
    <row r="750" spans="1:1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1"/>
      <c r="O750" s="1"/>
    </row>
    <row r="751" spans="1:1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1"/>
      <c r="O751" s="1"/>
    </row>
    <row r="752" spans="1:1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1"/>
      <c r="O752" s="1"/>
    </row>
    <row r="753" spans="1:1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1"/>
      <c r="O753" s="1"/>
    </row>
    <row r="754" spans="1:1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1"/>
      <c r="O754" s="1"/>
    </row>
    <row r="755" spans="1:1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1"/>
      <c r="O755" s="1"/>
    </row>
    <row r="756" spans="1:1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1"/>
      <c r="O756" s="1"/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1"/>
      <c r="O757" s="1"/>
    </row>
    <row r="758" spans="1:1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1"/>
      <c r="O758" s="1"/>
    </row>
    <row r="759" spans="1:1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1"/>
      <c r="O759" s="1"/>
    </row>
    <row r="760" spans="1:1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1"/>
      <c r="O760" s="1"/>
    </row>
    <row r="761" spans="1:1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1"/>
      <c r="O761" s="1"/>
    </row>
    <row r="762" spans="1:1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1"/>
      <c r="O762" s="1"/>
    </row>
    <row r="763" spans="1:1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1"/>
      <c r="O763" s="1"/>
    </row>
    <row r="764" spans="1:1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1"/>
      <c r="O764" s="1"/>
    </row>
    <row r="765" spans="1:1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1"/>
      <c r="O765" s="1"/>
    </row>
    <row r="766" spans="1:1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1"/>
      <c r="O766" s="1"/>
    </row>
    <row r="767" spans="1:1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1"/>
      <c r="O767" s="1"/>
    </row>
    <row r="768" spans="1:1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1"/>
      <c r="O768" s="1"/>
    </row>
    <row r="769" spans="1:1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1"/>
      <c r="O769" s="1"/>
    </row>
    <row r="770" spans="1:1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1"/>
      <c r="O770" s="1"/>
    </row>
    <row r="771" spans="1:1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1"/>
      <c r="O771" s="1"/>
    </row>
    <row r="772" spans="1:1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1"/>
      <c r="O772" s="1"/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1"/>
      <c r="O773" s="1"/>
    </row>
    <row r="774" spans="1:1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1"/>
      <c r="O774" s="1"/>
    </row>
    <row r="775" spans="1:1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1"/>
      <c r="O775" s="1"/>
    </row>
    <row r="776" spans="1:1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1"/>
      <c r="O776" s="1"/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1"/>
      <c r="O777" s="1"/>
    </row>
    <row r="778" spans="1:1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1"/>
      <c r="O778" s="1"/>
    </row>
    <row r="779" spans="1:1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1"/>
      <c r="O779" s="1"/>
    </row>
    <row r="780" spans="1:1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1"/>
      <c r="O780" s="1"/>
    </row>
    <row r="781" spans="1:1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1"/>
      <c r="O781" s="1"/>
    </row>
    <row r="782" spans="1:1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1"/>
      <c r="O782" s="1"/>
    </row>
    <row r="783" spans="1:1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1"/>
      <c r="O783" s="1"/>
    </row>
    <row r="784" spans="1:1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1"/>
      <c r="O784" s="1"/>
    </row>
    <row r="785" spans="1:1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1"/>
      <c r="O785" s="1"/>
    </row>
    <row r="786" spans="1:1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1"/>
      <c r="O786" s="1"/>
    </row>
    <row r="787" spans="1:1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1"/>
      <c r="O787" s="1"/>
    </row>
    <row r="788" spans="1:1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1"/>
      <c r="O788" s="1"/>
    </row>
    <row r="789" spans="1:1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1"/>
      <c r="O789" s="1"/>
    </row>
    <row r="790" spans="1:1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1"/>
      <c r="O790" s="1"/>
    </row>
    <row r="791" spans="1:1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1"/>
      <c r="O791" s="1"/>
    </row>
    <row r="792" spans="1:1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1"/>
      <c r="O792" s="1"/>
    </row>
    <row r="793" spans="1:1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1"/>
      <c r="O793" s="1"/>
    </row>
    <row r="794" spans="1:1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1"/>
      <c r="O794" s="1"/>
    </row>
    <row r="795" spans="1:1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1"/>
      <c r="O795" s="1"/>
    </row>
    <row r="796" spans="1:1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1"/>
      <c r="O796" s="1"/>
    </row>
    <row r="797" spans="1:1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1"/>
      <c r="O797" s="1"/>
    </row>
    <row r="798" spans="1:1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1"/>
      <c r="O798" s="1"/>
    </row>
    <row r="799" spans="1:1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1"/>
      <c r="O799" s="1"/>
    </row>
    <row r="800" spans="1:1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1"/>
      <c r="O800" s="1"/>
    </row>
    <row r="801" spans="1:1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1"/>
      <c r="O801" s="1"/>
    </row>
    <row r="802" spans="1:1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1"/>
      <c r="O802" s="1"/>
    </row>
    <row r="803" spans="1:1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1"/>
      <c r="O803" s="1"/>
    </row>
    <row r="804" spans="1:1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1"/>
      <c r="O804" s="1"/>
    </row>
    <row r="805" spans="1:1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1"/>
      <c r="O805" s="1"/>
    </row>
    <row r="806" spans="1:1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1"/>
      <c r="O806" s="1"/>
    </row>
    <row r="807" spans="1:1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1"/>
      <c r="O807" s="1"/>
    </row>
    <row r="808" spans="1:1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1"/>
      <c r="O808" s="1"/>
    </row>
    <row r="809" spans="1:1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1"/>
      <c r="O809" s="1"/>
    </row>
    <row r="810" spans="1:1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1"/>
      <c r="O810" s="1"/>
    </row>
    <row r="811" spans="1:1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1"/>
      <c r="O811" s="1"/>
    </row>
    <row r="812" spans="1:1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1"/>
      <c r="O812" s="1"/>
    </row>
    <row r="813" spans="1:1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1"/>
      <c r="O813" s="1"/>
    </row>
    <row r="814" spans="1:1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1"/>
      <c r="O814" s="1"/>
    </row>
    <row r="815" spans="1:1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1"/>
      <c r="O815" s="1"/>
    </row>
    <row r="816" spans="1:1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1"/>
      <c r="O816" s="1"/>
    </row>
    <row r="817" spans="1:1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1"/>
      <c r="O817" s="1"/>
    </row>
    <row r="818" spans="1:1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1"/>
      <c r="O818" s="1"/>
    </row>
    <row r="819" spans="1:1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1"/>
      <c r="O819" s="1"/>
    </row>
    <row r="820" spans="1:1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1"/>
      <c r="O820" s="1"/>
    </row>
    <row r="821" spans="1:1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1"/>
      <c r="O821" s="1"/>
    </row>
    <row r="822" spans="1:1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1"/>
      <c r="O822" s="1"/>
    </row>
    <row r="823" spans="1:1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1"/>
      <c r="O823" s="1"/>
    </row>
    <row r="824" spans="1:1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1"/>
      <c r="O824" s="1"/>
    </row>
    <row r="825" spans="1:1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1"/>
      <c r="O825" s="1"/>
    </row>
    <row r="826" spans="1:1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1"/>
      <c r="O826" s="1"/>
    </row>
    <row r="827" spans="1:1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1"/>
      <c r="O827" s="1"/>
    </row>
    <row r="828" spans="1:1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1"/>
      <c r="O828" s="1"/>
    </row>
    <row r="829" spans="1:1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1"/>
      <c r="O829" s="1"/>
    </row>
    <row r="830" spans="1:1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1"/>
      <c r="O830" s="1"/>
    </row>
    <row r="831" spans="1:1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1"/>
      <c r="O831" s="1"/>
    </row>
    <row r="832" spans="1:1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1"/>
      <c r="O832" s="1"/>
    </row>
    <row r="833" spans="1:1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1"/>
      <c r="O833" s="1"/>
    </row>
    <row r="834" spans="1:1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1"/>
      <c r="O834" s="1"/>
    </row>
    <row r="835" spans="1:1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1"/>
      <c r="O835" s="1"/>
    </row>
    <row r="836" spans="1:1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1"/>
      <c r="O836" s="1"/>
    </row>
    <row r="837" spans="1:1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1"/>
      <c r="O837" s="1"/>
    </row>
    <row r="838" spans="1:1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1"/>
      <c r="O838" s="1"/>
    </row>
    <row r="839" spans="1:1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1"/>
      <c r="O839" s="1"/>
    </row>
    <row r="840" spans="1:1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1"/>
      <c r="O840" s="1"/>
    </row>
    <row r="841" spans="1:1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1"/>
      <c r="O841" s="1"/>
    </row>
    <row r="842" spans="1:1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1"/>
      <c r="O842" s="1"/>
    </row>
    <row r="843" spans="1:1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1"/>
      <c r="O843" s="1"/>
    </row>
    <row r="844" spans="1:1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1"/>
      <c r="O844" s="1"/>
    </row>
    <row r="845" spans="1:1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1"/>
      <c r="O845" s="1"/>
    </row>
    <row r="846" spans="1:1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1"/>
      <c r="O846" s="1"/>
    </row>
    <row r="847" spans="1:1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1"/>
      <c r="O847" s="1"/>
    </row>
    <row r="848" spans="1:1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1"/>
      <c r="O848" s="1"/>
    </row>
    <row r="849" spans="1:1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1"/>
      <c r="O849" s="1"/>
    </row>
    <row r="850" spans="1:1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1"/>
      <c r="O850" s="1"/>
    </row>
    <row r="851" spans="1:1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1"/>
      <c r="O851" s="1"/>
    </row>
    <row r="852" spans="1:1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1"/>
      <c r="O852" s="1"/>
    </row>
    <row r="853" spans="1:1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1"/>
      <c r="O853" s="1"/>
    </row>
    <row r="854" spans="1:1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1"/>
      <c r="O854" s="1"/>
    </row>
    <row r="855" spans="1:1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1"/>
      <c r="O855" s="1"/>
    </row>
    <row r="856" spans="1:1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</row>
    <row r="857" spans="1:1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1"/>
      <c r="O857" s="1"/>
    </row>
    <row r="858" spans="1:1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1"/>
      <c r="O858" s="1"/>
    </row>
    <row r="859" spans="1:1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1"/>
      <c r="O859" s="1"/>
    </row>
    <row r="860" spans="1:1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1"/>
      <c r="O860" s="1"/>
    </row>
    <row r="861" spans="1:1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1"/>
      <c r="O861" s="1"/>
    </row>
    <row r="862" spans="1:1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1"/>
      <c r="O862" s="1"/>
    </row>
    <row r="863" spans="1:1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1"/>
      <c r="O863" s="1"/>
    </row>
    <row r="864" spans="1:1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1"/>
      <c r="O864" s="1"/>
    </row>
    <row r="865" spans="1:1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1"/>
      <c r="O865" s="1"/>
    </row>
    <row r="866" spans="1:1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1"/>
      <c r="O866" s="1"/>
    </row>
    <row r="867" spans="1:1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1"/>
      <c r="O867" s="1"/>
    </row>
    <row r="868" spans="1:1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1"/>
      <c r="O868" s="1"/>
    </row>
    <row r="869" spans="1:1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1"/>
      <c r="O869" s="1"/>
    </row>
    <row r="870" spans="1:1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1"/>
      <c r="O870" s="1"/>
    </row>
    <row r="871" spans="1:1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1"/>
      <c r="O871" s="1"/>
    </row>
    <row r="872" spans="1:1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1"/>
      <c r="O872" s="1"/>
    </row>
    <row r="873" spans="1:1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1"/>
      <c r="O873" s="1"/>
    </row>
    <row r="874" spans="1:1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1"/>
      <c r="O874" s="1"/>
    </row>
    <row r="875" spans="1:1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1"/>
      <c r="O875" s="1"/>
    </row>
    <row r="876" spans="1:1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1"/>
      <c r="O876" s="1"/>
    </row>
    <row r="877" spans="1:1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1"/>
      <c r="O877" s="1"/>
    </row>
    <row r="878" spans="1:1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1"/>
      <c r="O878" s="1"/>
    </row>
    <row r="879" spans="1:1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1"/>
      <c r="O879" s="1"/>
    </row>
    <row r="880" spans="1:1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1"/>
      <c r="O880" s="1"/>
    </row>
    <row r="881" spans="1:1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1"/>
      <c r="O881" s="1"/>
    </row>
    <row r="882" spans="1:1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1"/>
      <c r="O882" s="1"/>
    </row>
    <row r="883" spans="1:1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1"/>
      <c r="O883" s="1"/>
    </row>
    <row r="884" spans="1:1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1"/>
      <c r="O884" s="1"/>
    </row>
    <row r="885" spans="1:1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1"/>
      <c r="O885" s="1"/>
    </row>
    <row r="886" spans="1:1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1"/>
      <c r="O886" s="1"/>
    </row>
    <row r="887" spans="1:1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1"/>
      <c r="O887" s="1"/>
    </row>
    <row r="888" spans="1:1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1"/>
      <c r="O888" s="1"/>
    </row>
    <row r="889" spans="1:1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1"/>
      <c r="O889" s="1"/>
    </row>
    <row r="890" spans="1:1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1"/>
      <c r="O890" s="1"/>
    </row>
    <row r="891" spans="1:1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1"/>
      <c r="O891" s="1"/>
    </row>
    <row r="892" spans="1:1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1"/>
      <c r="O892" s="1"/>
    </row>
    <row r="893" spans="1:1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1"/>
      <c r="O893" s="1"/>
    </row>
    <row r="894" spans="1:1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1"/>
      <c r="O894" s="1"/>
    </row>
    <row r="895" spans="1:1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1"/>
      <c r="O895" s="1"/>
    </row>
    <row r="896" spans="1:1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1"/>
      <c r="O896" s="1"/>
    </row>
    <row r="897" spans="1:1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1"/>
      <c r="O897" s="1"/>
    </row>
    <row r="898" spans="1:1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1"/>
      <c r="O898" s="1"/>
    </row>
    <row r="899" spans="1:1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1"/>
      <c r="O899" s="1"/>
    </row>
    <row r="900" spans="1:1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1"/>
      <c r="O900" s="1"/>
    </row>
    <row r="901" spans="1:1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</row>
    <row r="902" spans="1:1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1"/>
      <c r="O902" s="1"/>
    </row>
    <row r="903" spans="1:1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1"/>
      <c r="O903" s="1"/>
    </row>
    <row r="904" spans="1:1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1"/>
      <c r="O904" s="1"/>
    </row>
    <row r="905" spans="1:1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1"/>
      <c r="O905" s="1"/>
    </row>
    <row r="906" spans="1:1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1"/>
      <c r="O906" s="1"/>
    </row>
    <row r="907" spans="1:1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1"/>
      <c r="O907" s="1"/>
    </row>
    <row r="908" spans="1:1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1"/>
      <c r="O908" s="1"/>
    </row>
    <row r="909" spans="1:1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1"/>
      <c r="O909" s="1"/>
    </row>
    <row r="910" spans="1:1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1"/>
      <c r="O910" s="1"/>
    </row>
    <row r="911" spans="1:1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1"/>
      <c r="O911" s="1"/>
    </row>
    <row r="912" spans="1:1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1"/>
      <c r="O912" s="1"/>
    </row>
    <row r="913" spans="1:1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1"/>
      <c r="O913" s="1"/>
    </row>
    <row r="914" spans="1:1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1"/>
      <c r="O914" s="1"/>
    </row>
    <row r="915" spans="1:1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1"/>
      <c r="O915" s="1"/>
    </row>
    <row r="916" spans="1:1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1"/>
      <c r="O916" s="1"/>
    </row>
    <row r="917" spans="1:1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1"/>
      <c r="O917" s="1"/>
    </row>
    <row r="918" spans="1:1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1"/>
      <c r="O918" s="1"/>
    </row>
    <row r="919" spans="1:1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1"/>
      <c r="O919" s="1"/>
    </row>
    <row r="920" spans="1:1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1"/>
      <c r="O920" s="1"/>
    </row>
    <row r="921" spans="1:1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1"/>
      <c r="O921" s="1"/>
    </row>
    <row r="922" spans="1:1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1"/>
      <c r="O922" s="1"/>
    </row>
    <row r="923" spans="1:1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1"/>
      <c r="O923" s="1"/>
    </row>
    <row r="924" spans="1:1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1"/>
      <c r="O924" s="1"/>
    </row>
    <row r="925" spans="1:1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1"/>
      <c r="O925" s="1"/>
    </row>
    <row r="926" spans="1:1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1"/>
      <c r="O926" s="1"/>
    </row>
    <row r="927" spans="1:1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1"/>
      <c r="O927" s="1"/>
    </row>
    <row r="928" spans="1:1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1"/>
      <c r="O928" s="1"/>
    </row>
    <row r="929" spans="1:1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1"/>
      <c r="O929" s="1"/>
    </row>
    <row r="930" spans="1:1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1"/>
      <c r="O930" s="1"/>
    </row>
    <row r="931" spans="1:1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1"/>
      <c r="O931" s="1"/>
    </row>
    <row r="932" spans="1:1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1"/>
      <c r="O932" s="1"/>
    </row>
    <row r="933" spans="1:1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1"/>
      <c r="O933" s="1"/>
    </row>
    <row r="934" spans="1:1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1"/>
      <c r="O934" s="1"/>
    </row>
    <row r="935" spans="1:1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1"/>
      <c r="O935" s="1"/>
    </row>
    <row r="936" spans="1:1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1"/>
      <c r="O936" s="1"/>
    </row>
    <row r="937" spans="1:1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1"/>
      <c r="O937" s="1"/>
    </row>
    <row r="938" spans="1:1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1"/>
      <c r="O938" s="1"/>
    </row>
    <row r="939" spans="1:1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1"/>
      <c r="O939" s="1"/>
    </row>
    <row r="940" spans="1:1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1"/>
      <c r="O940" s="1"/>
    </row>
    <row r="941" spans="1:1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1"/>
      <c r="O941" s="1"/>
    </row>
    <row r="942" spans="1:1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1"/>
      <c r="O942" s="1"/>
    </row>
    <row r="943" spans="1:1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1"/>
      <c r="O943" s="1"/>
    </row>
    <row r="944" spans="1:1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1"/>
      <c r="O944" s="1"/>
    </row>
    <row r="945" spans="1:1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1"/>
      <c r="O945" s="1"/>
    </row>
    <row r="946" spans="1:1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1"/>
      <c r="O946" s="1"/>
    </row>
    <row r="947" spans="1:1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1"/>
      <c r="O947" s="1"/>
    </row>
    <row r="948" spans="1:1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1"/>
      <c r="O948" s="1"/>
    </row>
    <row r="949" spans="1:1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1"/>
      <c r="O949" s="1"/>
    </row>
    <row r="950" spans="1:1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1"/>
      <c r="O950" s="1"/>
    </row>
    <row r="951" spans="1:1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1"/>
      <c r="O951" s="1"/>
    </row>
    <row r="952" spans="1:1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1"/>
      <c r="O952" s="1"/>
    </row>
    <row r="953" spans="1:1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1"/>
      <c r="O953" s="1"/>
    </row>
    <row r="954" spans="1:1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1"/>
      <c r="O954" s="1"/>
    </row>
    <row r="955" spans="1:1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1"/>
      <c r="O955" s="1"/>
    </row>
    <row r="956" spans="1:1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1"/>
      <c r="O956" s="1"/>
    </row>
    <row r="957" spans="1:1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1"/>
      <c r="O957" s="1"/>
    </row>
    <row r="958" spans="1:1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1"/>
      <c r="O958" s="1"/>
    </row>
    <row r="959" spans="1:1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1"/>
      <c r="O959" s="1"/>
    </row>
    <row r="960" spans="1:1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1"/>
      <c r="O960" s="1"/>
    </row>
    <row r="961" spans="1:1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1"/>
      <c r="O961" s="1"/>
    </row>
    <row r="962" spans="1:1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1"/>
      <c r="O962" s="1"/>
    </row>
    <row r="963" spans="1:1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1"/>
      <c r="O963" s="1"/>
    </row>
    <row r="964" spans="1:15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1"/>
      <c r="O964" s="1"/>
    </row>
    <row r="965" spans="1:15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1"/>
      <c r="O965" s="1"/>
    </row>
    <row r="966" spans="1:15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1"/>
      <c r="O966" s="1"/>
    </row>
    <row r="967" spans="1:15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1"/>
      <c r="O967" s="1"/>
    </row>
    <row r="968" spans="1:15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1"/>
      <c r="O968" s="1"/>
    </row>
    <row r="969" spans="1:15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1"/>
      <c r="O969" s="1"/>
    </row>
    <row r="970" spans="1:15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1"/>
      <c r="O970" s="1"/>
    </row>
    <row r="971" spans="1:15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1"/>
      <c r="O971" s="1"/>
    </row>
    <row r="972" spans="1:15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1"/>
      <c r="O972" s="1"/>
    </row>
    <row r="973" spans="1:15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1"/>
      <c r="O973" s="1"/>
    </row>
    <row r="974" spans="1:15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1"/>
      <c r="O974" s="1"/>
    </row>
    <row r="975" spans="1:15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1"/>
      <c r="O975" s="1"/>
    </row>
    <row r="976" spans="1:15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1"/>
      <c r="O976" s="1"/>
    </row>
    <row r="977" spans="1:15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1"/>
      <c r="O977" s="1"/>
    </row>
    <row r="978" spans="1:15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1"/>
      <c r="O978" s="1"/>
    </row>
    <row r="979" spans="1:15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1"/>
      <c r="O979" s="1"/>
    </row>
    <row r="980" spans="1:15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1"/>
      <c r="O980" s="1"/>
    </row>
    <row r="981" spans="1:15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1"/>
      <c r="O981" s="1"/>
    </row>
    <row r="982" spans="1:15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1"/>
      <c r="O982" s="1"/>
    </row>
    <row r="983" spans="1:15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1"/>
      <c r="O983" s="1"/>
    </row>
    <row r="984" spans="1:15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1"/>
      <c r="O984" s="1"/>
    </row>
    <row r="985" spans="1:15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1"/>
      <c r="O985" s="1"/>
    </row>
    <row r="986" spans="1:15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1"/>
      <c r="O986" s="1"/>
    </row>
    <row r="987" spans="1:15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1"/>
      <c r="O987" s="1"/>
    </row>
    <row r="988" spans="1:15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1"/>
      <c r="O988" s="1"/>
    </row>
    <row r="989" spans="1:15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1"/>
      <c r="O989" s="1"/>
    </row>
    <row r="990" spans="1:15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1"/>
      <c r="O990" s="1"/>
    </row>
    <row r="991" spans="1:15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1"/>
      <c r="O991" s="1"/>
    </row>
    <row r="992" spans="1:15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1"/>
      <c r="O992" s="1"/>
    </row>
    <row r="993" spans="1:15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1"/>
      <c r="O993" s="1"/>
    </row>
    <row r="994" spans="1:15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1"/>
      <c r="O994" s="1"/>
    </row>
    <row r="995" spans="1:15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1"/>
      <c r="O995" s="1"/>
    </row>
    <row r="996" spans="1:15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1"/>
      <c r="O996" s="1"/>
    </row>
    <row r="997" spans="1:15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1"/>
      <c r="O997" s="1"/>
    </row>
    <row r="998" spans="1:15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1"/>
      <c r="O998" s="1"/>
    </row>
    <row r="999" spans="1:15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1"/>
      <c r="O999" s="1"/>
    </row>
    <row r="1000" spans="1:15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1"/>
      <c r="O1000" s="1"/>
    </row>
    <row r="1001" spans="1:15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1"/>
      <c r="M1001" s="1"/>
      <c r="N1001" s="1"/>
      <c r="O1001" s="1"/>
    </row>
    <row r="1002" spans="1:15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1"/>
      <c r="M1002" s="1"/>
      <c r="N1002" s="1"/>
      <c r="O1002" s="1"/>
    </row>
    <row r="1003" spans="1:15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1"/>
      <c r="M1003" s="1"/>
      <c r="N1003" s="1"/>
      <c r="O1003" s="1"/>
    </row>
    <row r="1004" spans="1:15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1"/>
      <c r="L1004" s="1"/>
      <c r="M1004" s="1"/>
      <c r="N1004" s="1"/>
      <c r="O1004" s="1"/>
    </row>
    <row r="1005" spans="1:15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1"/>
      <c r="L1005" s="1"/>
      <c r="M1005" s="1"/>
      <c r="N1005" s="1"/>
      <c r="O1005" s="1"/>
    </row>
    <row r="1006" spans="1:15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1"/>
      <c r="L1006" s="1"/>
      <c r="M1006" s="1"/>
      <c r="N1006" s="1"/>
      <c r="O1006" s="1"/>
    </row>
    <row r="1007" spans="1:15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1"/>
      <c r="L1007" s="1"/>
      <c r="M1007" s="1"/>
      <c r="N1007" s="1"/>
      <c r="O1007" s="1"/>
    </row>
    <row r="1008" spans="1:15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1"/>
      <c r="L1008" s="1"/>
      <c r="M1008" s="1"/>
      <c r="N1008" s="1"/>
      <c r="O1008" s="1"/>
    </row>
    <row r="1009" spans="1:15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1"/>
      <c r="L1009" s="1"/>
      <c r="M1009" s="1"/>
      <c r="N1009" s="1"/>
      <c r="O1009" s="1"/>
    </row>
    <row r="1010" spans="1:15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1"/>
      <c r="L1010" s="1"/>
      <c r="M1010" s="1"/>
      <c r="N1010" s="1"/>
      <c r="O1010" s="1"/>
    </row>
    <row r="1011" spans="1:15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1"/>
      <c r="L1011" s="1"/>
      <c r="M1011" s="1"/>
      <c r="N1011" s="1"/>
      <c r="O1011" s="1"/>
    </row>
    <row r="1012" spans="1:15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1"/>
      <c r="L1012" s="1"/>
      <c r="M1012" s="1"/>
      <c r="N1012" s="1"/>
      <c r="O1012" s="1"/>
    </row>
    <row r="1013" spans="1:15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1"/>
      <c r="L1013" s="1"/>
      <c r="M1013" s="1"/>
      <c r="N1013" s="1"/>
      <c r="O1013" s="1"/>
    </row>
    <row r="1014" spans="1:15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1"/>
      <c r="L1014" s="1"/>
      <c r="M1014" s="1"/>
      <c r="N1014" s="1"/>
      <c r="O1014" s="1"/>
    </row>
    <row r="1015" spans="1:15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1"/>
      <c r="L1015" s="1"/>
      <c r="M1015" s="1"/>
      <c r="N1015" s="1"/>
      <c r="O1015" s="1"/>
    </row>
    <row r="1016" spans="1:15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1"/>
      <c r="L1016" s="1"/>
      <c r="M1016" s="1"/>
      <c r="N1016" s="1"/>
      <c r="O1016" s="1"/>
    </row>
    <row r="1017" spans="1:15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1"/>
      <c r="L1017" s="1"/>
      <c r="M1017" s="1"/>
      <c r="N1017" s="1"/>
      <c r="O1017" s="1"/>
    </row>
    <row r="1018" spans="1:15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1"/>
      <c r="L1018" s="1"/>
      <c r="M1018" s="1"/>
      <c r="N1018" s="1"/>
      <c r="O1018" s="1"/>
    </row>
    <row r="1019" spans="1:15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1"/>
      <c r="L1019" s="1"/>
      <c r="M1019" s="1"/>
      <c r="N1019" s="1"/>
      <c r="O1019" s="1"/>
    </row>
    <row r="1020" spans="1:15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1"/>
      <c r="L1020" s="1"/>
      <c r="M1020" s="1"/>
      <c r="N1020" s="1"/>
      <c r="O1020" s="1"/>
    </row>
    <row r="1021" spans="1:15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1"/>
      <c r="L1021" s="1"/>
      <c r="M1021" s="1"/>
      <c r="N1021" s="1"/>
      <c r="O1021" s="1"/>
    </row>
    <row r="1022" spans="1:15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1"/>
      <c r="L1022" s="1"/>
      <c r="M1022" s="1"/>
      <c r="N1022" s="1"/>
      <c r="O1022" s="1"/>
    </row>
    <row r="1023" spans="1:15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1"/>
      <c r="L1023" s="1"/>
      <c r="M1023" s="1"/>
      <c r="N1023" s="1"/>
      <c r="O1023" s="1"/>
    </row>
    <row r="1024" spans="1:15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1"/>
      <c r="L1024" s="1"/>
      <c r="M1024" s="1"/>
      <c r="N1024" s="1"/>
      <c r="O1024" s="1"/>
    </row>
    <row r="1025" spans="1:15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1"/>
      <c r="L1025" s="1"/>
      <c r="M1025" s="1"/>
      <c r="N1025" s="1"/>
      <c r="O1025" s="1"/>
    </row>
    <row r="1026" spans="1:15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1"/>
      <c r="L1026" s="1"/>
      <c r="M1026" s="1"/>
      <c r="N1026" s="1"/>
      <c r="O1026" s="1"/>
    </row>
    <row r="1027" spans="1:15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1"/>
      <c r="L1027" s="1"/>
      <c r="M1027" s="1"/>
      <c r="N1027" s="1"/>
      <c r="O1027" s="1"/>
    </row>
    <row r="1028" spans="1:15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1"/>
      <c r="L1028" s="1"/>
      <c r="M1028" s="1"/>
      <c r="N1028" s="1"/>
      <c r="O1028" s="1"/>
    </row>
    <row r="1029" spans="1:15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1"/>
      <c r="L1029" s="1"/>
      <c r="M1029" s="1"/>
      <c r="N1029" s="1"/>
      <c r="O1029" s="1"/>
    </row>
    <row r="1030" spans="1:15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1"/>
      <c r="L1030" s="1"/>
      <c r="M1030" s="1"/>
      <c r="N1030" s="1"/>
      <c r="O1030" s="1"/>
    </row>
    <row r="1031" spans="1:15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1"/>
      <c r="L1031" s="1"/>
      <c r="M1031" s="1"/>
      <c r="N1031" s="1"/>
      <c r="O1031" s="1"/>
    </row>
    <row r="1032" spans="1:15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1"/>
      <c r="L1032" s="1"/>
      <c r="M1032" s="1"/>
      <c r="N1032" s="1"/>
      <c r="O1032" s="1"/>
    </row>
    <row r="1033" spans="1:15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1"/>
      <c r="L1033" s="1"/>
      <c r="M1033" s="1"/>
      <c r="N1033" s="1"/>
      <c r="O1033" s="1"/>
    </row>
    <row r="1034" spans="1:15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1"/>
      <c r="L1034" s="1"/>
      <c r="M1034" s="1"/>
      <c r="N1034" s="1"/>
      <c r="O1034" s="1"/>
    </row>
    <row r="1035" spans="1:15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1"/>
      <c r="L1035" s="1"/>
      <c r="M1035" s="1"/>
      <c r="N1035" s="1"/>
      <c r="O1035" s="1"/>
    </row>
    <row r="1036" spans="1:15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1"/>
      <c r="L1036" s="1"/>
      <c r="M1036" s="1"/>
      <c r="N1036" s="1"/>
      <c r="O1036" s="1"/>
    </row>
    <row r="1037" spans="1:15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1"/>
      <c r="L1037" s="1"/>
      <c r="M1037" s="1"/>
      <c r="N1037" s="1"/>
      <c r="O1037" s="1"/>
    </row>
    <row r="1038" spans="1:15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1"/>
      <c r="L1038" s="1"/>
      <c r="M1038" s="1"/>
      <c r="N1038" s="1"/>
      <c r="O1038" s="1"/>
    </row>
    <row r="1039" spans="1:15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1"/>
      <c r="L1039" s="1"/>
      <c r="M1039" s="1"/>
      <c r="N1039" s="1"/>
      <c r="O1039" s="1"/>
    </row>
    <row r="1040" spans="1:15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1"/>
      <c r="L1040" s="1"/>
      <c r="M1040" s="1"/>
      <c r="N1040" s="1"/>
      <c r="O1040" s="1"/>
    </row>
    <row r="1041" spans="1:15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1"/>
      <c r="L1041" s="1"/>
      <c r="M1041" s="1"/>
      <c r="N1041" s="1"/>
      <c r="O1041" s="1"/>
    </row>
    <row r="1042" spans="1:15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1"/>
      <c r="L1042" s="1"/>
      <c r="M1042" s="1"/>
      <c r="N1042" s="1"/>
      <c r="O1042" s="1"/>
    </row>
    <row r="1043" spans="1:15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1"/>
      <c r="L1043" s="1"/>
      <c r="M1043" s="1"/>
      <c r="N1043" s="1"/>
      <c r="O1043" s="1"/>
    </row>
    <row r="1044" spans="1:15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1"/>
      <c r="L1044" s="1"/>
      <c r="M1044" s="1"/>
      <c r="N1044" s="1"/>
      <c r="O1044" s="1"/>
    </row>
    <row r="1045" spans="1:15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1"/>
      <c r="L1045" s="1"/>
      <c r="M1045" s="1"/>
      <c r="N1045" s="1"/>
      <c r="O1045" s="1"/>
    </row>
    <row r="1046" spans="1:15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1"/>
      <c r="L1046" s="1"/>
      <c r="M1046" s="1"/>
      <c r="N1046" s="1"/>
      <c r="O1046" s="1"/>
    </row>
    <row r="1047" spans="1:15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1"/>
      <c r="L1047" s="1"/>
      <c r="M1047" s="1"/>
      <c r="N1047" s="1"/>
      <c r="O1047" s="1"/>
    </row>
    <row r="1048" spans="1:15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1"/>
      <c r="L1048" s="1"/>
      <c r="M1048" s="1"/>
      <c r="N1048" s="1"/>
      <c r="O1048" s="1"/>
    </row>
    <row r="1049" spans="1:15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1"/>
      <c r="L1049" s="1"/>
      <c r="M1049" s="1"/>
      <c r="N1049" s="1"/>
      <c r="O1049" s="1"/>
    </row>
    <row r="1050" spans="1:15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1"/>
      <c r="L1050" s="1"/>
      <c r="M1050" s="1"/>
      <c r="N1050" s="1"/>
      <c r="O1050" s="1"/>
    </row>
    <row r="1051" spans="1:15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1"/>
      <c r="L1051" s="1"/>
      <c r="M1051" s="1"/>
      <c r="N1051" s="1"/>
      <c r="O1051" s="1"/>
    </row>
    <row r="1052" spans="1:15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1"/>
      <c r="L1052" s="1"/>
      <c r="M1052" s="1"/>
      <c r="N1052" s="1"/>
      <c r="O1052" s="1"/>
    </row>
    <row r="1053" spans="1:15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1"/>
      <c r="L1053" s="1"/>
      <c r="M1053" s="1"/>
      <c r="N1053" s="1"/>
      <c r="O1053" s="1"/>
    </row>
    <row r="1054" spans="1:15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1"/>
      <c r="L1054" s="1"/>
      <c r="M1054" s="1"/>
      <c r="N1054" s="1"/>
      <c r="O1054" s="1"/>
    </row>
    <row r="1055" spans="1:15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1"/>
      <c r="L1055" s="1"/>
      <c r="M1055" s="1"/>
      <c r="N1055" s="1"/>
      <c r="O1055" s="1"/>
    </row>
    <row r="1056" spans="1:15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1"/>
      <c r="L1056" s="1"/>
      <c r="M1056" s="1"/>
      <c r="N1056" s="1"/>
      <c r="O1056" s="1"/>
    </row>
    <row r="1057" spans="1:15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1"/>
      <c r="L1057" s="1"/>
      <c r="M1057" s="1"/>
      <c r="N1057" s="1"/>
      <c r="O1057" s="1"/>
    </row>
    <row r="1058" spans="1:15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1"/>
      <c r="L1058" s="1"/>
      <c r="M1058" s="1"/>
      <c r="N1058" s="1"/>
      <c r="O1058" s="1"/>
    </row>
    <row r="1059" spans="1:15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1"/>
      <c r="L1059" s="1"/>
      <c r="M1059" s="1"/>
      <c r="N1059" s="1"/>
      <c r="O1059" s="1"/>
    </row>
    <row r="1060" spans="1:15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1"/>
      <c r="L1060" s="1"/>
      <c r="M1060" s="1"/>
      <c r="N1060" s="1"/>
      <c r="O1060" s="1"/>
    </row>
    <row r="1061" spans="1:15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1"/>
      <c r="L1061" s="1"/>
      <c r="M1061" s="1"/>
      <c r="N1061" s="1"/>
      <c r="O1061" s="1"/>
    </row>
    <row r="1062" spans="1:15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1"/>
      <c r="L1062" s="1"/>
      <c r="M1062" s="1"/>
      <c r="N1062" s="1"/>
      <c r="O1062" s="1"/>
    </row>
    <row r="1063" spans="1:15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1"/>
      <c r="L1063" s="1"/>
      <c r="M1063" s="1"/>
      <c r="N1063" s="1"/>
      <c r="O1063" s="1"/>
    </row>
    <row r="1064" spans="1:15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1"/>
      <c r="L1064" s="1"/>
      <c r="M1064" s="1"/>
      <c r="N1064" s="1"/>
      <c r="O1064" s="1"/>
    </row>
    <row r="1065" spans="1:15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1"/>
      <c r="L1065" s="1"/>
      <c r="M1065" s="1"/>
      <c r="N1065" s="1"/>
      <c r="O1065" s="1"/>
    </row>
    <row r="1066" spans="1:15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1"/>
      <c r="L1066" s="1"/>
      <c r="M1066" s="1"/>
      <c r="N1066" s="1"/>
      <c r="O1066" s="1"/>
    </row>
    <row r="1067" spans="1:15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1"/>
      <c r="L1067" s="1"/>
      <c r="M1067" s="1"/>
      <c r="N1067" s="1"/>
      <c r="O1067" s="1"/>
    </row>
    <row r="1068" spans="1:15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1"/>
      <c r="L1068" s="1"/>
      <c r="M1068" s="1"/>
      <c r="N1068" s="1"/>
      <c r="O1068" s="1"/>
    </row>
    <row r="1069" spans="1:15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1"/>
      <c r="L1069" s="1"/>
      <c r="M1069" s="1"/>
      <c r="N1069" s="1"/>
      <c r="O1069" s="1"/>
    </row>
    <row r="1070" spans="1:15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1"/>
      <c r="L1070" s="1"/>
      <c r="M1070" s="1"/>
      <c r="N1070" s="1"/>
      <c r="O1070" s="1"/>
    </row>
    <row r="1071" spans="1:15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1"/>
      <c r="L1071" s="1"/>
      <c r="M1071" s="1"/>
      <c r="N1071" s="1"/>
      <c r="O1071" s="1"/>
    </row>
    <row r="1072" spans="1:15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1"/>
      <c r="L1072" s="1"/>
      <c r="M1072" s="1"/>
      <c r="N1072" s="1"/>
      <c r="O1072" s="1"/>
    </row>
    <row r="1073" spans="1:15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1"/>
      <c r="L1073" s="1"/>
      <c r="M1073" s="1"/>
      <c r="N1073" s="1"/>
      <c r="O1073" s="1"/>
    </row>
    <row r="1074" spans="1:15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1"/>
      <c r="L1074" s="1"/>
      <c r="M1074" s="1"/>
      <c r="N1074" s="1"/>
      <c r="O1074" s="1"/>
    </row>
    <row r="1075" spans="1:15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1"/>
      <c r="L1075" s="1"/>
      <c r="M1075" s="1"/>
      <c r="N1075" s="1"/>
      <c r="O1075" s="1"/>
    </row>
    <row r="1076" spans="1:15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1"/>
      <c r="L1076" s="1"/>
      <c r="M1076" s="1"/>
      <c r="N1076" s="1"/>
      <c r="O1076" s="1"/>
    </row>
    <row r="1077" spans="1:15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1"/>
      <c r="L1077" s="1"/>
      <c r="M1077" s="1"/>
      <c r="N1077" s="1"/>
      <c r="O1077" s="1"/>
    </row>
    <row r="1078" spans="1:15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1"/>
      <c r="L1078" s="1"/>
      <c r="M1078" s="1"/>
      <c r="N1078" s="1"/>
      <c r="O1078" s="1"/>
    </row>
    <row r="1079" spans="1:15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1"/>
      <c r="L1079" s="1"/>
      <c r="M1079" s="1"/>
      <c r="N1079" s="1"/>
      <c r="O1079" s="1"/>
    </row>
    <row r="1080" spans="1:15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1"/>
      <c r="L1080" s="1"/>
      <c r="M1080" s="1"/>
      <c r="N1080" s="1"/>
      <c r="O1080" s="1"/>
    </row>
    <row r="1081" spans="1:15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1"/>
      <c r="L1081" s="1"/>
      <c r="M1081" s="1"/>
      <c r="N1081" s="1"/>
      <c r="O1081" s="1"/>
    </row>
    <row r="1082" spans="1:15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1"/>
      <c r="L1082" s="1"/>
      <c r="M1082" s="1"/>
      <c r="N1082" s="1"/>
      <c r="O1082" s="1"/>
    </row>
    <row r="1083" spans="1:15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1"/>
      <c r="L1083" s="1"/>
      <c r="M1083" s="1"/>
      <c r="N1083" s="1"/>
      <c r="O1083" s="1"/>
    </row>
    <row r="1084" spans="1:15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1"/>
      <c r="L1084" s="1"/>
      <c r="M1084" s="1"/>
      <c r="N1084" s="1"/>
      <c r="O1084" s="1"/>
    </row>
    <row r="1085" spans="1:15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1"/>
      <c r="L1085" s="1"/>
      <c r="M1085" s="1"/>
      <c r="N1085" s="1"/>
      <c r="O1085" s="1"/>
    </row>
    <row r="1086" spans="1:15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1"/>
      <c r="L1086" s="1"/>
      <c r="M1086" s="1"/>
      <c r="N1086" s="1"/>
      <c r="O1086" s="1"/>
    </row>
    <row r="1087" spans="1:15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1"/>
      <c r="L1087" s="1"/>
      <c r="M1087" s="1"/>
      <c r="N1087" s="1"/>
      <c r="O1087" s="1"/>
    </row>
    <row r="1088" spans="1:15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1"/>
      <c r="L1088" s="1"/>
      <c r="M1088" s="1"/>
      <c r="N1088" s="1"/>
      <c r="O1088" s="1"/>
    </row>
    <row r="1089" spans="1:15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1"/>
      <c r="L1089" s="1"/>
      <c r="M1089" s="1"/>
      <c r="N1089" s="1"/>
      <c r="O1089" s="1"/>
    </row>
    <row r="1090" spans="1:15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1"/>
      <c r="L1090" s="1"/>
      <c r="M1090" s="1"/>
      <c r="N1090" s="1"/>
      <c r="O1090" s="1"/>
    </row>
    <row r="1091" spans="1:15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1"/>
      <c r="L1091" s="1"/>
      <c r="M1091" s="1"/>
      <c r="N1091" s="1"/>
      <c r="O1091" s="1"/>
    </row>
    <row r="1092" spans="1:15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1"/>
      <c r="L1092" s="1"/>
      <c r="M1092" s="1"/>
      <c r="N1092" s="1"/>
      <c r="O1092" s="1"/>
    </row>
    <row r="1093" spans="1:15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1"/>
      <c r="L1093" s="1"/>
      <c r="M1093" s="1"/>
      <c r="N1093" s="1"/>
      <c r="O1093" s="1"/>
    </row>
    <row r="1094" spans="1:15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1"/>
      <c r="L1094" s="1"/>
      <c r="M1094" s="1"/>
      <c r="N1094" s="1"/>
      <c r="O1094" s="1"/>
    </row>
    <row r="1095" spans="1:15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1"/>
      <c r="L1095" s="1"/>
      <c r="M1095" s="1"/>
      <c r="N1095" s="1"/>
      <c r="O1095" s="1"/>
    </row>
    <row r="1096" spans="1:15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1"/>
      <c r="L1096" s="1"/>
      <c r="M1096" s="1"/>
      <c r="N1096" s="1"/>
      <c r="O1096" s="1"/>
    </row>
    <row r="1097" spans="1:15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1"/>
      <c r="L1097" s="1"/>
      <c r="M1097" s="1"/>
      <c r="N1097" s="1"/>
      <c r="O1097" s="1"/>
    </row>
    <row r="1098" spans="1:15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1"/>
      <c r="L1098" s="1"/>
      <c r="M1098" s="1"/>
      <c r="N1098" s="1"/>
      <c r="O1098" s="1"/>
    </row>
    <row r="1099" spans="1:15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1"/>
      <c r="L1099" s="1"/>
      <c r="M1099" s="1"/>
      <c r="N1099" s="1"/>
      <c r="O1099" s="1"/>
    </row>
    <row r="1100" spans="1:15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1"/>
      <c r="L1100" s="1"/>
      <c r="M1100" s="1"/>
      <c r="N1100" s="1"/>
      <c r="O1100" s="1"/>
    </row>
    <row r="1101" spans="1:15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1"/>
      <c r="L1101" s="1"/>
      <c r="M1101" s="1"/>
      <c r="N1101" s="1"/>
      <c r="O1101" s="1"/>
    </row>
    <row r="1102" spans="1:15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1"/>
      <c r="L1102" s="1"/>
      <c r="M1102" s="1"/>
      <c r="N1102" s="1"/>
      <c r="O1102" s="1"/>
    </row>
    <row r="1103" spans="1:15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1"/>
      <c r="L1103" s="1"/>
      <c r="M1103" s="1"/>
      <c r="N1103" s="1"/>
      <c r="O1103" s="1"/>
    </row>
    <row r="1104" spans="1:15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1"/>
      <c r="L1104" s="1"/>
      <c r="M1104" s="1"/>
      <c r="N1104" s="1"/>
      <c r="O1104" s="1"/>
    </row>
    <row r="1105" spans="1:15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1"/>
      <c r="L1105" s="1"/>
      <c r="M1105" s="1"/>
      <c r="N1105" s="1"/>
      <c r="O1105" s="1"/>
    </row>
    <row r="1106" spans="1:15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1"/>
      <c r="L1106" s="1"/>
      <c r="M1106" s="1"/>
      <c r="N1106" s="1"/>
      <c r="O1106" s="1"/>
    </row>
    <row r="1107" spans="1:15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1"/>
      <c r="L1107" s="1"/>
      <c r="M1107" s="1"/>
      <c r="N1107" s="1"/>
      <c r="O1107" s="1"/>
    </row>
    <row r="1108" spans="1:15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1"/>
      <c r="L1108" s="1"/>
      <c r="M1108" s="1"/>
      <c r="N1108" s="1"/>
      <c r="O1108" s="1"/>
    </row>
    <row r="1109" spans="1:15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1"/>
      <c r="L1109" s="1"/>
      <c r="M1109" s="1"/>
      <c r="N1109" s="1"/>
      <c r="O1109" s="1"/>
    </row>
    <row r="1110" spans="1:15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1"/>
      <c r="L1110" s="1"/>
      <c r="M1110" s="1"/>
      <c r="N1110" s="1"/>
      <c r="O1110" s="1"/>
    </row>
    <row r="1111" spans="1:15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1"/>
      <c r="L1111" s="1"/>
      <c r="M1111" s="1"/>
      <c r="N1111" s="1"/>
      <c r="O1111" s="1"/>
    </row>
    <row r="1112" spans="1:15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1"/>
      <c r="L1112" s="1"/>
      <c r="M1112" s="1"/>
      <c r="N1112" s="1"/>
      <c r="O1112" s="1"/>
    </row>
    <row r="1113" spans="1:15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1"/>
      <c r="L1113" s="1"/>
      <c r="M1113" s="1"/>
      <c r="N1113" s="1"/>
      <c r="O1113" s="1"/>
    </row>
    <row r="1114" spans="1:15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1"/>
      <c r="L1114" s="1"/>
      <c r="M1114" s="1"/>
      <c r="N1114" s="1"/>
      <c r="O1114" s="1"/>
    </row>
    <row r="1115" spans="1:15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1"/>
      <c r="L1115" s="1"/>
      <c r="M1115" s="1"/>
      <c r="N1115" s="1"/>
      <c r="O1115" s="1"/>
    </row>
    <row r="1116" spans="1:15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1"/>
      <c r="L1116" s="1"/>
      <c r="M1116" s="1"/>
      <c r="N1116" s="1"/>
      <c r="O1116" s="1"/>
    </row>
    <row r="1117" spans="1:15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1"/>
      <c r="L1117" s="1"/>
      <c r="M1117" s="1"/>
      <c r="N1117" s="1"/>
      <c r="O1117" s="1"/>
    </row>
    <row r="1118" spans="1:15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1"/>
      <c r="L1118" s="1"/>
      <c r="M1118" s="1"/>
      <c r="N1118" s="1"/>
      <c r="O1118" s="1"/>
    </row>
    <row r="1119" spans="1:15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1"/>
      <c r="L1119" s="1"/>
      <c r="M1119" s="1"/>
      <c r="N1119" s="1"/>
      <c r="O1119" s="1"/>
    </row>
    <row r="1120" spans="1:15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1"/>
      <c r="L1120" s="1"/>
      <c r="M1120" s="1"/>
      <c r="N1120" s="1"/>
      <c r="O1120" s="1"/>
    </row>
    <row r="1121" spans="1:15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1"/>
      <c r="L1121" s="1"/>
      <c r="M1121" s="1"/>
      <c r="N1121" s="1"/>
      <c r="O1121" s="1"/>
    </row>
    <row r="1122" spans="1:15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1"/>
      <c r="L1122" s="1"/>
      <c r="M1122" s="1"/>
      <c r="N1122" s="1"/>
      <c r="O1122" s="1"/>
    </row>
    <row r="1123" spans="1:15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1"/>
      <c r="L1123" s="1"/>
      <c r="M1123" s="1"/>
      <c r="N1123" s="1"/>
      <c r="O1123" s="1"/>
    </row>
    <row r="1124" spans="1:15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1"/>
      <c r="L1124" s="1"/>
      <c r="M1124" s="1"/>
      <c r="N1124" s="1"/>
      <c r="O1124" s="1"/>
    </row>
    <row r="1125" spans="1:15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1"/>
      <c r="L1125" s="1"/>
      <c r="M1125" s="1"/>
      <c r="N1125" s="1"/>
      <c r="O1125" s="1"/>
    </row>
    <row r="1126" spans="1:15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1"/>
      <c r="L1126" s="1"/>
      <c r="M1126" s="1"/>
      <c r="N1126" s="1"/>
      <c r="O1126" s="1"/>
    </row>
    <row r="1127" spans="1:15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1"/>
      <c r="L1127" s="1"/>
      <c r="M1127" s="1"/>
      <c r="N1127" s="1"/>
      <c r="O1127" s="1"/>
    </row>
    <row r="1128" spans="1:15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1"/>
      <c r="L1128" s="1"/>
      <c r="M1128" s="1"/>
      <c r="N1128" s="1"/>
      <c r="O1128" s="1"/>
    </row>
    <row r="1129" spans="1:15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1"/>
      <c r="L1129" s="1"/>
      <c r="M1129" s="1"/>
      <c r="N1129" s="1"/>
      <c r="O1129" s="1"/>
    </row>
    <row r="1130" spans="1:15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1"/>
      <c r="L1130" s="1"/>
      <c r="M1130" s="1"/>
      <c r="N1130" s="1"/>
      <c r="O1130" s="1"/>
    </row>
    <row r="1131" spans="1:15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1"/>
      <c r="L1131" s="1"/>
      <c r="M1131" s="1"/>
      <c r="N1131" s="1"/>
      <c r="O1131" s="1"/>
    </row>
    <row r="1132" spans="1:15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1"/>
      <c r="L1132" s="1"/>
      <c r="M1132" s="1"/>
      <c r="N1132" s="1"/>
      <c r="O1132" s="1"/>
    </row>
    <row r="1133" spans="1:15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1"/>
      <c r="L1133" s="1"/>
      <c r="M1133" s="1"/>
      <c r="N1133" s="1"/>
      <c r="O1133" s="1"/>
    </row>
    <row r="1134" spans="1:15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1"/>
      <c r="L1134" s="1"/>
      <c r="M1134" s="1"/>
      <c r="N1134" s="1"/>
      <c r="O1134" s="1"/>
    </row>
    <row r="1135" spans="1:15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1"/>
      <c r="L1135" s="1"/>
      <c r="M1135" s="1"/>
      <c r="N1135" s="1"/>
      <c r="O1135" s="1"/>
    </row>
    <row r="1136" spans="1:15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1"/>
      <c r="L1136" s="1"/>
      <c r="M1136" s="1"/>
      <c r="N1136" s="1"/>
      <c r="O1136" s="1"/>
    </row>
    <row r="1137" spans="1:15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1"/>
      <c r="L1137" s="1"/>
      <c r="M1137" s="1"/>
      <c r="N1137" s="1"/>
      <c r="O1137" s="1"/>
    </row>
    <row r="1138" spans="1:15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1"/>
      <c r="L1138" s="1"/>
      <c r="M1138" s="1"/>
      <c r="N1138" s="1"/>
      <c r="O1138" s="1"/>
    </row>
    <row r="1139" spans="1:15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1"/>
      <c r="L1139" s="1"/>
      <c r="M1139" s="1"/>
      <c r="N1139" s="1"/>
      <c r="O1139" s="1"/>
    </row>
    <row r="1140" spans="1:15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1"/>
      <c r="L1140" s="1"/>
      <c r="M1140" s="1"/>
      <c r="N1140" s="1"/>
      <c r="O1140" s="1"/>
    </row>
    <row r="1141" spans="1:15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1"/>
      <c r="L1141" s="1"/>
      <c r="M1141" s="1"/>
      <c r="N1141" s="1"/>
      <c r="O1141" s="1"/>
    </row>
    <row r="1142" spans="1:15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1"/>
      <c r="L1142" s="1"/>
      <c r="M1142" s="1"/>
      <c r="N1142" s="1"/>
      <c r="O1142" s="1"/>
    </row>
    <row r="1143" spans="1:15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1"/>
      <c r="L1143" s="1"/>
      <c r="M1143" s="1"/>
      <c r="N1143" s="1"/>
      <c r="O1143" s="1"/>
    </row>
    <row r="1144" spans="1:15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1"/>
      <c r="L1144" s="1"/>
      <c r="M1144" s="1"/>
      <c r="N1144" s="1"/>
      <c r="O1144" s="1"/>
    </row>
    <row r="1145" spans="1:15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1"/>
      <c r="L1145" s="1"/>
      <c r="M1145" s="1"/>
      <c r="N1145" s="1"/>
      <c r="O1145" s="1"/>
    </row>
    <row r="1146" spans="1:15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1"/>
      <c r="L1146" s="1"/>
      <c r="M1146" s="1"/>
      <c r="N1146" s="1"/>
      <c r="O1146" s="1"/>
    </row>
    <row r="1147" spans="1:15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1"/>
      <c r="L1147" s="1"/>
      <c r="M1147" s="1"/>
      <c r="N1147" s="1"/>
      <c r="O1147" s="1"/>
    </row>
    <row r="1148" spans="1:15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1"/>
      <c r="L1148" s="1"/>
      <c r="M1148" s="1"/>
      <c r="N1148" s="1"/>
      <c r="O1148" s="1"/>
    </row>
    <row r="1149" spans="1:15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1"/>
      <c r="L1149" s="1"/>
      <c r="M1149" s="1"/>
      <c r="N1149" s="1"/>
      <c r="O1149" s="1"/>
    </row>
    <row r="1150" spans="1:15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1"/>
      <c r="L1150" s="1"/>
      <c r="M1150" s="1"/>
      <c r="N1150" s="1"/>
      <c r="O1150" s="1"/>
    </row>
    <row r="1151" spans="1:15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1"/>
      <c r="L1151" s="1"/>
      <c r="M1151" s="1"/>
      <c r="N1151" s="1"/>
      <c r="O1151" s="1"/>
    </row>
    <row r="1152" spans="1:15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1"/>
      <c r="L1152" s="1"/>
      <c r="M1152" s="1"/>
      <c r="N1152" s="1"/>
      <c r="O1152" s="1"/>
    </row>
    <row r="1153" spans="1:15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1"/>
      <c r="L1153" s="1"/>
      <c r="M1153" s="1"/>
      <c r="N1153" s="1"/>
      <c r="O1153" s="1"/>
    </row>
    <row r="1154" spans="1:15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1"/>
      <c r="L1154" s="1"/>
      <c r="M1154" s="1"/>
      <c r="N1154" s="1"/>
      <c r="O1154" s="1"/>
    </row>
    <row r="1155" spans="1:15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1"/>
      <c r="L1155" s="1"/>
      <c r="M1155" s="1"/>
      <c r="N1155" s="1"/>
      <c r="O1155" s="1"/>
    </row>
    <row r="1156" spans="1:15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1"/>
      <c r="L1156" s="1"/>
      <c r="M1156" s="1"/>
      <c r="N1156" s="1"/>
      <c r="O1156" s="1"/>
    </row>
    <row r="1157" spans="1:15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1"/>
      <c r="L1157" s="1"/>
      <c r="M1157" s="1"/>
      <c r="N1157" s="1"/>
      <c r="O1157" s="1"/>
    </row>
    <row r="1158" spans="1:15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1"/>
      <c r="L1158" s="1"/>
      <c r="M1158" s="1"/>
      <c r="N1158" s="1"/>
      <c r="O1158" s="1"/>
    </row>
    <row r="1159" spans="1:15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1"/>
      <c r="L1159" s="1"/>
      <c r="M1159" s="1"/>
      <c r="N1159" s="1"/>
      <c r="O1159" s="1"/>
    </row>
    <row r="1160" spans="1:15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1"/>
      <c r="L1160" s="1"/>
      <c r="M1160" s="1"/>
      <c r="N1160" s="1"/>
      <c r="O1160" s="1"/>
    </row>
    <row r="1161" spans="1:15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1"/>
      <c r="L1161" s="1"/>
      <c r="M1161" s="1"/>
      <c r="N1161" s="1"/>
      <c r="O1161" s="1"/>
    </row>
    <row r="1162" spans="1:15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1"/>
      <c r="L1162" s="1"/>
      <c r="M1162" s="1"/>
      <c r="N1162" s="1"/>
      <c r="O1162" s="1"/>
    </row>
    <row r="1163" spans="1:15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1"/>
      <c r="L1163" s="1"/>
      <c r="M1163" s="1"/>
      <c r="N1163" s="1"/>
      <c r="O1163" s="1"/>
    </row>
    <row r="1164" spans="1:15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1"/>
      <c r="L1164" s="1"/>
      <c r="M1164" s="1"/>
      <c r="N1164" s="1"/>
      <c r="O1164" s="1"/>
    </row>
    <row r="1165" spans="1:15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1"/>
      <c r="L1165" s="1"/>
      <c r="M1165" s="1"/>
      <c r="N1165" s="1"/>
      <c r="O1165" s="1"/>
    </row>
    <row r="1166" spans="1:15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1"/>
      <c r="L1166" s="1"/>
      <c r="M1166" s="1"/>
      <c r="N1166" s="1"/>
      <c r="O1166" s="1"/>
    </row>
    <row r="1167" spans="1:15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1"/>
      <c r="L1167" s="1"/>
      <c r="M1167" s="1"/>
      <c r="N1167" s="1"/>
      <c r="O1167" s="1"/>
    </row>
    <row r="1168" spans="1:15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1"/>
      <c r="L1168" s="1"/>
      <c r="M1168" s="1"/>
      <c r="N1168" s="1"/>
      <c r="O1168" s="1"/>
    </row>
    <row r="1169" spans="1:15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1"/>
      <c r="L1169" s="1"/>
      <c r="M1169" s="1"/>
      <c r="N1169" s="1"/>
      <c r="O1169" s="1"/>
    </row>
    <row r="1170" spans="1:15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1"/>
      <c r="L1170" s="1"/>
      <c r="M1170" s="1"/>
      <c r="N1170" s="1"/>
      <c r="O1170" s="1"/>
    </row>
    <row r="1171" spans="1:15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1"/>
      <c r="L1171" s="1"/>
      <c r="M1171" s="1"/>
      <c r="N1171" s="1"/>
      <c r="O1171" s="1"/>
    </row>
    <row r="1172" spans="1:15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1"/>
      <c r="L1172" s="1"/>
      <c r="M1172" s="1"/>
      <c r="N1172" s="1"/>
      <c r="O1172" s="1"/>
    </row>
    <row r="1173" spans="1:15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1"/>
      <c r="L1173" s="1"/>
      <c r="M1173" s="1"/>
      <c r="N1173" s="1"/>
      <c r="O1173" s="1"/>
    </row>
    <row r="1174" spans="1:15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1"/>
      <c r="L1174" s="1"/>
      <c r="M1174" s="1"/>
      <c r="N1174" s="1"/>
      <c r="O1174" s="1"/>
    </row>
    <row r="1175" spans="1:15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1"/>
      <c r="L1175" s="1"/>
      <c r="M1175" s="1"/>
      <c r="N1175" s="1"/>
      <c r="O1175" s="1"/>
    </row>
    <row r="1176" spans="1:15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1"/>
      <c r="L1176" s="1"/>
      <c r="M1176" s="1"/>
      <c r="N1176" s="1"/>
      <c r="O1176" s="1"/>
    </row>
    <row r="1177" spans="1:15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1"/>
      <c r="L1177" s="1"/>
      <c r="M1177" s="1"/>
      <c r="N1177" s="1"/>
      <c r="O1177" s="1"/>
    </row>
    <row r="1178" spans="1:15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1"/>
      <c r="L1178" s="1"/>
      <c r="M1178" s="1"/>
      <c r="N1178" s="1"/>
      <c r="O1178" s="1"/>
    </row>
    <row r="1179" spans="1:15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1"/>
      <c r="L1179" s="1"/>
      <c r="M1179" s="1"/>
      <c r="N1179" s="1"/>
      <c r="O1179" s="1"/>
    </row>
    <row r="1180" spans="1:15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1"/>
      <c r="L1180" s="1"/>
      <c r="M1180" s="1"/>
      <c r="N1180" s="1"/>
      <c r="O1180" s="1"/>
    </row>
    <row r="1181" spans="1:15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1"/>
      <c r="L1181" s="1"/>
      <c r="M1181" s="1"/>
      <c r="N1181" s="1"/>
      <c r="O1181" s="1"/>
    </row>
    <row r="1182" spans="1:15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1"/>
      <c r="L1182" s="1"/>
      <c r="M1182" s="1"/>
      <c r="N1182" s="1"/>
      <c r="O1182" s="1"/>
    </row>
    <row r="1183" spans="1:15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1"/>
      <c r="L1183" s="1"/>
      <c r="M1183" s="1"/>
      <c r="N1183" s="1"/>
      <c r="O1183" s="1"/>
    </row>
    <row r="1184" spans="1:15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1"/>
      <c r="L1184" s="1"/>
      <c r="M1184" s="1"/>
      <c r="N1184" s="1"/>
      <c r="O1184" s="1"/>
    </row>
    <row r="1185" spans="1:15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1"/>
      <c r="L1185" s="1"/>
      <c r="M1185" s="1"/>
      <c r="N1185" s="1"/>
      <c r="O1185" s="1"/>
    </row>
    <row r="1186" spans="1:15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1"/>
      <c r="L1186" s="1"/>
      <c r="M1186" s="1"/>
      <c r="N1186" s="1"/>
      <c r="O1186" s="1"/>
    </row>
    <row r="1187" spans="1:15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1"/>
      <c r="L1187" s="1"/>
      <c r="M1187" s="1"/>
      <c r="N1187" s="1"/>
      <c r="O1187" s="1"/>
    </row>
    <row r="1188" spans="1:15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1"/>
      <c r="L1188" s="1"/>
      <c r="M1188" s="1"/>
      <c r="N1188" s="1"/>
      <c r="O1188" s="1"/>
    </row>
    <row r="1189" spans="1:15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1"/>
      <c r="L1189" s="1"/>
      <c r="M1189" s="1"/>
      <c r="N1189" s="1"/>
      <c r="O1189" s="1"/>
    </row>
    <row r="1190" spans="1:15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1"/>
      <c r="L1190" s="1"/>
      <c r="M1190" s="1"/>
      <c r="N1190" s="1"/>
      <c r="O1190" s="1"/>
    </row>
    <row r="1191" spans="1:15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1"/>
      <c r="L1191" s="1"/>
      <c r="M1191" s="1"/>
      <c r="N1191" s="1"/>
      <c r="O1191" s="1"/>
    </row>
    <row r="1192" spans="1:15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1"/>
      <c r="L1192" s="1"/>
      <c r="M1192" s="1"/>
      <c r="N1192" s="1"/>
      <c r="O1192" s="1"/>
    </row>
    <row r="1193" spans="1:15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1"/>
      <c r="L1193" s="1"/>
      <c r="M1193" s="1"/>
      <c r="N1193" s="1"/>
      <c r="O1193" s="1"/>
    </row>
    <row r="1194" spans="1:15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1"/>
      <c r="L1194" s="1"/>
      <c r="M1194" s="1"/>
      <c r="N1194" s="1"/>
      <c r="O1194" s="1"/>
    </row>
    <row r="1195" spans="1:15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1"/>
      <c r="L1195" s="1"/>
      <c r="M1195" s="1"/>
      <c r="N1195" s="1"/>
      <c r="O1195" s="1"/>
    </row>
    <row r="1196" spans="1:15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1"/>
      <c r="L1196" s="1"/>
      <c r="M1196" s="1"/>
      <c r="N1196" s="1"/>
      <c r="O1196" s="1"/>
    </row>
    <row r="1197" spans="1:15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1"/>
      <c r="L1197" s="1"/>
      <c r="M1197" s="1"/>
      <c r="N1197" s="1"/>
      <c r="O1197" s="1"/>
    </row>
    <row r="1198" spans="1:15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1"/>
      <c r="L1198" s="1"/>
      <c r="M1198" s="1"/>
      <c r="N1198" s="1"/>
      <c r="O1198" s="1"/>
    </row>
    <row r="1199" spans="1:15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1"/>
      <c r="L1199" s="1"/>
      <c r="M1199" s="1"/>
      <c r="N1199" s="1"/>
      <c r="O1199" s="1"/>
    </row>
    <row r="1200" spans="1:15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1"/>
      <c r="L1200" s="1"/>
      <c r="M1200" s="1"/>
      <c r="N1200" s="1"/>
      <c r="O1200" s="1"/>
    </row>
    <row r="1201" spans="1:15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1"/>
      <c r="L1201" s="1"/>
      <c r="M1201" s="1"/>
      <c r="N1201" s="1"/>
      <c r="O1201" s="1"/>
    </row>
    <row r="1202" spans="1:15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1"/>
      <c r="L1202" s="1"/>
      <c r="M1202" s="1"/>
      <c r="N1202" s="1"/>
      <c r="O1202" s="1"/>
    </row>
    <row r="1203" spans="1:15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1"/>
      <c r="L1203" s="1"/>
      <c r="M1203" s="1"/>
      <c r="N1203" s="1"/>
      <c r="O1203" s="1"/>
    </row>
    <row r="1204" spans="1:15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1"/>
      <c r="L1204" s="1"/>
      <c r="M1204" s="1"/>
      <c r="N1204" s="1"/>
      <c r="O1204" s="1"/>
    </row>
    <row r="1205" spans="1:15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1"/>
      <c r="L1205" s="1"/>
      <c r="M1205" s="1"/>
      <c r="N1205" s="1"/>
      <c r="O1205" s="1"/>
    </row>
    <row r="1206" spans="1:15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1"/>
      <c r="L1206" s="1"/>
      <c r="M1206" s="1"/>
      <c r="N1206" s="1"/>
      <c r="O1206" s="1"/>
    </row>
    <row r="1207" spans="1:15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1"/>
      <c r="L1207" s="1"/>
      <c r="M1207" s="1"/>
      <c r="N1207" s="1"/>
      <c r="O1207" s="1"/>
    </row>
    <row r="1208" spans="1:15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1"/>
      <c r="L1208" s="1"/>
      <c r="M1208" s="1"/>
      <c r="N1208" s="1"/>
      <c r="O1208" s="1"/>
    </row>
    <row r="1209" spans="1:15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1"/>
      <c r="L1209" s="1"/>
      <c r="M1209" s="1"/>
      <c r="N1209" s="1"/>
      <c r="O1209" s="1"/>
    </row>
    <row r="1210" spans="1:15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1"/>
      <c r="L1210" s="1"/>
      <c r="M1210" s="1"/>
      <c r="N1210" s="1"/>
      <c r="O1210" s="1"/>
    </row>
    <row r="1211" spans="1:15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1"/>
      <c r="L1211" s="1"/>
      <c r="M1211" s="1"/>
      <c r="N1211" s="1"/>
      <c r="O1211" s="1"/>
    </row>
    <row r="1212" spans="1:15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1"/>
      <c r="L1212" s="1"/>
      <c r="M1212" s="1"/>
      <c r="N1212" s="1"/>
      <c r="O1212" s="1"/>
    </row>
    <row r="1213" spans="1:15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1"/>
      <c r="L1213" s="1"/>
      <c r="M1213" s="1"/>
      <c r="N1213" s="1"/>
      <c r="O1213" s="1"/>
    </row>
    <row r="1214" spans="1:15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1"/>
      <c r="L1214" s="1"/>
      <c r="M1214" s="1"/>
      <c r="N1214" s="1"/>
      <c r="O1214" s="1"/>
    </row>
    <row r="1215" spans="1:15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1"/>
      <c r="L1215" s="1"/>
      <c r="M1215" s="1"/>
      <c r="N1215" s="1"/>
      <c r="O1215" s="1"/>
    </row>
    <row r="1216" spans="1:15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1"/>
      <c r="L1216" s="1"/>
      <c r="M1216" s="1"/>
      <c r="N1216" s="1"/>
      <c r="O1216" s="1"/>
    </row>
    <row r="1217" spans="1:15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1"/>
      <c r="L1217" s="1"/>
      <c r="M1217" s="1"/>
      <c r="N1217" s="1"/>
      <c r="O1217" s="1"/>
    </row>
    <row r="1218" spans="1:15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1"/>
      <c r="L1218" s="1"/>
      <c r="M1218" s="1"/>
      <c r="N1218" s="1"/>
      <c r="O1218" s="1"/>
    </row>
    <row r="1219" spans="1:15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1"/>
      <c r="L1219" s="1"/>
      <c r="M1219" s="1"/>
      <c r="N1219" s="1"/>
      <c r="O1219" s="1"/>
    </row>
    <row r="1220" spans="1:15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1"/>
      <c r="L1220" s="1"/>
      <c r="M1220" s="1"/>
      <c r="N1220" s="1"/>
      <c r="O1220" s="1"/>
    </row>
    <row r="1221" spans="1:15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1"/>
      <c r="L1221" s="1"/>
      <c r="M1221" s="1"/>
      <c r="N1221" s="1"/>
      <c r="O1221" s="1"/>
    </row>
    <row r="1222" spans="1:15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1"/>
      <c r="L1222" s="1"/>
      <c r="M1222" s="1"/>
      <c r="N1222" s="1"/>
      <c r="O1222" s="1"/>
    </row>
    <row r="1223" spans="1:15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1"/>
      <c r="L1223" s="1"/>
      <c r="M1223" s="1"/>
      <c r="N1223" s="1"/>
      <c r="O1223" s="1"/>
    </row>
    <row r="1224" spans="1:15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1"/>
      <c r="L1224" s="1"/>
      <c r="M1224" s="1"/>
      <c r="N1224" s="1"/>
      <c r="O1224" s="1"/>
    </row>
    <row r="1225" spans="1:15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1"/>
      <c r="L1225" s="1"/>
      <c r="M1225" s="1"/>
      <c r="N1225" s="1"/>
      <c r="O1225" s="1"/>
    </row>
    <row r="1226" spans="1:15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1"/>
      <c r="L1226" s="1"/>
      <c r="M1226" s="1"/>
      <c r="N1226" s="1"/>
      <c r="O1226" s="1"/>
    </row>
    <row r="1227" spans="1:15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1"/>
      <c r="L1227" s="1"/>
      <c r="M1227" s="1"/>
      <c r="N1227" s="1"/>
      <c r="O1227" s="1"/>
    </row>
    <row r="1228" spans="1:15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1"/>
      <c r="L1228" s="1"/>
      <c r="M1228" s="1"/>
      <c r="N1228" s="1"/>
      <c r="O1228" s="1"/>
    </row>
    <row r="1229" spans="1:15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1"/>
      <c r="L1229" s="1"/>
      <c r="M1229" s="1"/>
      <c r="N1229" s="1"/>
      <c r="O1229" s="1"/>
    </row>
    <row r="1230" spans="1:15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1"/>
      <c r="L1230" s="1"/>
      <c r="M1230" s="1"/>
      <c r="N1230" s="1"/>
      <c r="O1230" s="1"/>
    </row>
    <row r="1231" spans="1:15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1"/>
      <c r="L1231" s="1"/>
      <c r="M1231" s="1"/>
      <c r="N1231" s="1"/>
      <c r="O1231" s="1"/>
    </row>
    <row r="1232" spans="1:15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1"/>
      <c r="L1232" s="1"/>
      <c r="M1232" s="1"/>
      <c r="N1232" s="1"/>
      <c r="O1232" s="1"/>
    </row>
    <row r="1233" spans="1:15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1"/>
      <c r="L1233" s="1"/>
      <c r="M1233" s="1"/>
      <c r="N1233" s="1"/>
      <c r="O1233" s="1"/>
    </row>
    <row r="1234" spans="1:15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1"/>
      <c r="L1234" s="1"/>
      <c r="M1234" s="1"/>
      <c r="N1234" s="1"/>
      <c r="O1234" s="1"/>
    </row>
    <row r="1235" spans="1:15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1"/>
      <c r="L1235" s="1"/>
      <c r="M1235" s="1"/>
      <c r="N1235" s="1"/>
      <c r="O1235" s="1"/>
    </row>
    <row r="1236" spans="1:15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1"/>
      <c r="L1236" s="1"/>
      <c r="M1236" s="1"/>
      <c r="N1236" s="1"/>
      <c r="O1236" s="1"/>
    </row>
    <row r="1237" spans="1:15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1"/>
      <c r="L1237" s="1"/>
      <c r="M1237" s="1"/>
      <c r="N1237" s="1"/>
      <c r="O1237" s="1"/>
    </row>
    <row r="1238" spans="1:15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1"/>
      <c r="L1238" s="1"/>
      <c r="M1238" s="1"/>
      <c r="N1238" s="1"/>
      <c r="O1238" s="1"/>
    </row>
    <row r="1239" spans="1:15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1"/>
      <c r="L1239" s="1"/>
      <c r="M1239" s="1"/>
      <c r="N1239" s="1"/>
      <c r="O1239" s="1"/>
    </row>
    <row r="1240" spans="1:15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1"/>
      <c r="L1240" s="1"/>
      <c r="M1240" s="1"/>
      <c r="N1240" s="1"/>
      <c r="O1240" s="1"/>
    </row>
    <row r="1241" spans="1:15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1"/>
      <c r="L1241" s="1"/>
      <c r="M1241" s="1"/>
      <c r="N1241" s="1"/>
      <c r="O1241" s="1"/>
    </row>
    <row r="1242" spans="1:15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1"/>
      <c r="L1242" s="1"/>
      <c r="M1242" s="1"/>
      <c r="N1242" s="1"/>
      <c r="O1242" s="1"/>
    </row>
    <row r="1243" spans="1:15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1"/>
      <c r="L1243" s="1"/>
      <c r="M1243" s="1"/>
      <c r="N1243" s="1"/>
      <c r="O1243" s="1"/>
    </row>
    <row r="1244" spans="1:15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1"/>
      <c r="L1244" s="1"/>
      <c r="M1244" s="1"/>
      <c r="N1244" s="1"/>
      <c r="O1244" s="1"/>
    </row>
    <row r="1245" spans="1:15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1"/>
      <c r="L1245" s="1"/>
      <c r="M1245" s="1"/>
      <c r="N1245" s="1"/>
      <c r="O1245" s="1"/>
    </row>
    <row r="1246" spans="1:15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1"/>
      <c r="L1246" s="1"/>
      <c r="M1246" s="1"/>
      <c r="N1246" s="1"/>
      <c r="O1246" s="1"/>
    </row>
    <row r="1247" spans="1:15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1"/>
      <c r="L1247" s="1"/>
      <c r="M1247" s="1"/>
      <c r="N1247" s="1"/>
      <c r="O1247" s="1"/>
    </row>
    <row r="1248" spans="1:15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1"/>
      <c r="L1248" s="1"/>
      <c r="M1248" s="1"/>
      <c r="N1248" s="1"/>
      <c r="O1248" s="1"/>
    </row>
    <row r="1249" spans="1:15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1"/>
      <c r="L1249" s="1"/>
      <c r="M1249" s="1"/>
      <c r="N1249" s="1"/>
      <c r="O1249" s="1"/>
    </row>
    <row r="1250" spans="1:15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1"/>
      <c r="L1250" s="1"/>
      <c r="M1250" s="1"/>
      <c r="N1250" s="1"/>
      <c r="O1250" s="1"/>
    </row>
    <row r="1251" spans="1:15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1"/>
      <c r="L1251" s="1"/>
      <c r="M1251" s="1"/>
      <c r="N1251" s="1"/>
      <c r="O1251" s="1"/>
    </row>
    <row r="1252" spans="1:15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1"/>
      <c r="L1252" s="1"/>
      <c r="M1252" s="1"/>
      <c r="N1252" s="1"/>
      <c r="O1252" s="1"/>
    </row>
    <row r="1253" spans="1:15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1"/>
      <c r="L1253" s="1"/>
      <c r="M1253" s="1"/>
      <c r="N1253" s="1"/>
      <c r="O1253" s="1"/>
    </row>
    <row r="1254" spans="1:15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1"/>
      <c r="L1254" s="1"/>
      <c r="M1254" s="1"/>
      <c r="N1254" s="1"/>
      <c r="O1254" s="1"/>
    </row>
    <row r="1255" spans="1:15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1"/>
      <c r="L1255" s="1"/>
      <c r="M1255" s="1"/>
      <c r="N1255" s="1"/>
      <c r="O1255" s="1"/>
    </row>
    <row r="1256" spans="1:15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1"/>
      <c r="L1256" s="1"/>
      <c r="M1256" s="1"/>
      <c r="N1256" s="1"/>
      <c r="O1256" s="1"/>
    </row>
    <row r="1257" spans="1:15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1"/>
      <c r="L1257" s="1"/>
      <c r="M1257" s="1"/>
      <c r="N1257" s="1"/>
      <c r="O1257" s="1"/>
    </row>
    <row r="1258" spans="1:15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1"/>
      <c r="L1258" s="1"/>
      <c r="M1258" s="1"/>
      <c r="N1258" s="1"/>
      <c r="O1258" s="1"/>
    </row>
    <row r="1259" spans="1:15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1"/>
      <c r="L1259" s="1"/>
      <c r="M1259" s="1"/>
      <c r="N1259" s="1"/>
      <c r="O1259" s="1"/>
    </row>
    <row r="1260" spans="1:15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1"/>
      <c r="L1260" s="1"/>
      <c r="M1260" s="1"/>
      <c r="N1260" s="1"/>
      <c r="O1260" s="1"/>
    </row>
    <row r="1261" spans="1:15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1"/>
      <c r="L1261" s="1"/>
      <c r="M1261" s="1"/>
      <c r="N1261" s="1"/>
      <c r="O1261" s="1"/>
    </row>
    <row r="1262" spans="1:15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1"/>
      <c r="L1262" s="1"/>
      <c r="M1262" s="1"/>
      <c r="N1262" s="1"/>
      <c r="O1262" s="1"/>
    </row>
    <row r="1263" spans="1:15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1"/>
      <c r="L1263" s="1"/>
      <c r="M1263" s="1"/>
      <c r="N1263" s="1"/>
      <c r="O1263" s="1"/>
    </row>
    <row r="1264" spans="1:15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1"/>
      <c r="L1264" s="1"/>
      <c r="M1264" s="1"/>
      <c r="N1264" s="1"/>
      <c r="O1264" s="1"/>
    </row>
    <row r="1265" spans="1:15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1"/>
      <c r="L1265" s="1"/>
      <c r="M1265" s="1"/>
      <c r="N1265" s="1"/>
      <c r="O1265" s="1"/>
    </row>
    <row r="1266" spans="1:15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1"/>
      <c r="L1266" s="1"/>
      <c r="M1266" s="1"/>
      <c r="N1266" s="1"/>
      <c r="O1266" s="1"/>
    </row>
    <row r="1267" spans="1:15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1"/>
      <c r="L1267" s="1"/>
      <c r="M1267" s="1"/>
      <c r="N1267" s="1"/>
      <c r="O1267" s="1"/>
    </row>
    <row r="1268" spans="1:15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1"/>
      <c r="L1268" s="1"/>
      <c r="M1268" s="1"/>
      <c r="N1268" s="1"/>
      <c r="O1268" s="1"/>
    </row>
    <row r="1269" spans="1:15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1"/>
      <c r="L1269" s="1"/>
      <c r="M1269" s="1"/>
      <c r="N1269" s="1"/>
      <c r="O1269" s="1"/>
    </row>
    <row r="1270" spans="1:15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1"/>
      <c r="L1270" s="1"/>
      <c r="M1270" s="1"/>
      <c r="N1270" s="1"/>
      <c r="O1270" s="1"/>
    </row>
    <row r="1271" spans="1:15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1"/>
      <c r="L1271" s="1"/>
      <c r="M1271" s="1"/>
      <c r="N1271" s="1"/>
      <c r="O1271" s="1"/>
    </row>
    <row r="1272" spans="1:15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1"/>
      <c r="L1272" s="1"/>
      <c r="M1272" s="1"/>
      <c r="N1272" s="1"/>
      <c r="O1272" s="1"/>
    </row>
    <row r="1273" spans="1:15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1"/>
      <c r="L1273" s="1"/>
      <c r="M1273" s="1"/>
      <c r="N1273" s="1"/>
      <c r="O1273" s="1"/>
    </row>
    <row r="1274" spans="1:15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1"/>
      <c r="L1274" s="1"/>
      <c r="M1274" s="1"/>
      <c r="N1274" s="1"/>
      <c r="O1274" s="1"/>
    </row>
    <row r="1275" spans="1:15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1"/>
      <c r="L1275" s="1"/>
      <c r="M1275" s="1"/>
      <c r="N1275" s="1"/>
      <c r="O1275" s="1"/>
    </row>
    <row r="1276" spans="1:15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1"/>
      <c r="L1276" s="1"/>
      <c r="M1276" s="1"/>
      <c r="N1276" s="1"/>
      <c r="O1276" s="1"/>
    </row>
    <row r="1277" spans="1:15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1"/>
      <c r="L1277" s="1"/>
      <c r="M1277" s="1"/>
      <c r="N1277" s="1"/>
      <c r="O1277" s="1"/>
    </row>
    <row r="1278" spans="1:15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1"/>
      <c r="L1278" s="1"/>
      <c r="M1278" s="1"/>
      <c r="N1278" s="1"/>
      <c r="O1278" s="1"/>
    </row>
    <row r="1279" spans="1:15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1"/>
      <c r="L1279" s="1"/>
      <c r="M1279" s="1"/>
      <c r="N1279" s="1"/>
      <c r="O1279" s="1"/>
    </row>
    <row r="1280" spans="1:15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1"/>
      <c r="L1280" s="1"/>
      <c r="M1280" s="1"/>
      <c r="N1280" s="1"/>
      <c r="O1280" s="1"/>
    </row>
    <row r="1281" spans="1:15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1"/>
      <c r="L1281" s="1"/>
      <c r="M1281" s="1"/>
      <c r="N1281" s="1"/>
      <c r="O1281" s="1"/>
    </row>
    <row r="1282" spans="1:15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1"/>
      <c r="L1282" s="1"/>
      <c r="M1282" s="1"/>
      <c r="N1282" s="1"/>
      <c r="O1282" s="1"/>
    </row>
    <row r="1283" spans="1:15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1"/>
      <c r="L1283" s="1"/>
      <c r="M1283" s="1"/>
      <c r="N1283" s="1"/>
      <c r="O1283" s="1"/>
    </row>
    <row r="1284" spans="1:15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1"/>
      <c r="L1284" s="1"/>
      <c r="M1284" s="1"/>
      <c r="N1284" s="1"/>
      <c r="O1284" s="1"/>
    </row>
    <row r="1285" spans="1:15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1"/>
      <c r="L1285" s="1"/>
      <c r="M1285" s="1"/>
      <c r="N1285" s="1"/>
      <c r="O1285" s="1"/>
    </row>
    <row r="1286" spans="1:15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1"/>
      <c r="L1286" s="1"/>
      <c r="M1286" s="1"/>
      <c r="N1286" s="1"/>
      <c r="O1286" s="1"/>
    </row>
    <row r="1287" spans="1:15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1"/>
      <c r="L1287" s="1"/>
      <c r="M1287" s="1"/>
      <c r="N1287" s="1"/>
      <c r="O1287" s="1"/>
    </row>
    <row r="1288" spans="1:15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1"/>
      <c r="L1288" s="1"/>
      <c r="M1288" s="1"/>
      <c r="N1288" s="1"/>
      <c r="O1288" s="1"/>
    </row>
    <row r="1289" spans="1:15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1"/>
      <c r="L1289" s="1"/>
      <c r="M1289" s="1"/>
      <c r="N1289" s="1"/>
      <c r="O1289" s="1"/>
    </row>
    <row r="1290" spans="1:15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1"/>
      <c r="L1290" s="1"/>
      <c r="M1290" s="1"/>
      <c r="N1290" s="1"/>
      <c r="O1290" s="1"/>
    </row>
    <row r="1291" spans="1:15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1"/>
      <c r="L1291" s="1"/>
      <c r="M1291" s="1"/>
      <c r="N1291" s="1"/>
      <c r="O1291" s="1"/>
    </row>
    <row r="1292" spans="1:15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1"/>
      <c r="L1292" s="1"/>
      <c r="M1292" s="1"/>
      <c r="N1292" s="1"/>
      <c r="O1292" s="1"/>
    </row>
    <row r="1293" spans="1:15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1"/>
      <c r="L1293" s="1"/>
      <c r="M1293" s="1"/>
      <c r="N1293" s="1"/>
      <c r="O1293" s="1"/>
    </row>
    <row r="1294" spans="1:15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1"/>
      <c r="L1294" s="1"/>
      <c r="M1294" s="1"/>
      <c r="N1294" s="1"/>
      <c r="O1294" s="1"/>
    </row>
    <row r="1295" spans="1:15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1"/>
      <c r="L1295" s="1"/>
      <c r="M1295" s="1"/>
      <c r="N1295" s="1"/>
      <c r="O1295" s="1"/>
    </row>
    <row r="1296" spans="1:15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1"/>
      <c r="L1296" s="1"/>
      <c r="M1296" s="1"/>
      <c r="N1296" s="1"/>
      <c r="O1296" s="1"/>
    </row>
    <row r="1297" spans="1:15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1"/>
      <c r="L1297" s="1"/>
      <c r="M1297" s="1"/>
      <c r="N1297" s="1"/>
      <c r="O1297" s="1"/>
    </row>
    <row r="1298" spans="1:15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1"/>
      <c r="L1298" s="1"/>
      <c r="M1298" s="1"/>
      <c r="N1298" s="1"/>
      <c r="O1298" s="1"/>
    </row>
    <row r="1299" spans="1:15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1"/>
      <c r="L1299" s="1"/>
      <c r="M1299" s="1"/>
      <c r="N1299" s="1"/>
      <c r="O1299" s="1"/>
    </row>
    <row r="1300" spans="1:15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1"/>
      <c r="L1300" s="1"/>
      <c r="M1300" s="1"/>
      <c r="N1300" s="1"/>
      <c r="O1300" s="1"/>
    </row>
    <row r="1301" spans="1:15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1"/>
      <c r="L1301" s="1"/>
      <c r="M1301" s="1"/>
      <c r="N1301" s="1"/>
      <c r="O1301" s="1"/>
    </row>
    <row r="1302" spans="1:15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1"/>
      <c r="L1302" s="1"/>
      <c r="M1302" s="1"/>
      <c r="N1302" s="1"/>
      <c r="O1302" s="1"/>
    </row>
    <row r="1303" spans="1:15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1"/>
      <c r="L1303" s="1"/>
      <c r="M1303" s="1"/>
      <c r="N1303" s="1"/>
      <c r="O1303" s="1"/>
    </row>
    <row r="1304" spans="1:15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1"/>
      <c r="L1304" s="1"/>
      <c r="M1304" s="1"/>
      <c r="N1304" s="1"/>
      <c r="O1304" s="1"/>
    </row>
    <row r="1305" spans="1:15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</sheetData>
  <sheetProtection/>
  <printOptions/>
  <pageMargins left="0.75" right="0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4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4.445312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74" t="s">
        <v>196</v>
      </c>
      <c r="C2" s="474"/>
      <c r="D2" s="474"/>
      <c r="E2" s="474"/>
      <c r="F2" s="474"/>
      <c r="G2" s="474"/>
      <c r="H2" s="87"/>
      <c r="I2" s="87"/>
      <c r="J2" s="87"/>
      <c r="K2" s="87"/>
      <c r="L2" s="87"/>
      <c r="M2" s="87"/>
    </row>
    <row r="3" spans="1:13" s="56" customFormat="1" ht="15">
      <c r="A3" s="87"/>
      <c r="B3" s="475" t="s">
        <v>197</v>
      </c>
      <c r="C3" s="475"/>
      <c r="D3" s="475"/>
      <c r="E3" s="475"/>
      <c r="F3" s="475"/>
      <c r="G3" s="475"/>
      <c r="H3" s="87"/>
      <c r="I3" s="87"/>
      <c r="J3" s="87"/>
      <c r="K3" s="87"/>
      <c r="L3" s="87"/>
      <c r="M3" s="87"/>
    </row>
    <row r="4" spans="1:12" s="56" customFormat="1" ht="15">
      <c r="A4" s="87"/>
      <c r="B4" s="475" t="s">
        <v>198</v>
      </c>
      <c r="C4" s="475"/>
      <c r="D4" s="475"/>
      <c r="E4" s="475"/>
      <c r="F4" s="475"/>
      <c r="G4" s="475"/>
      <c r="H4" s="87"/>
      <c r="I4" s="87"/>
      <c r="J4" s="87"/>
      <c r="K4" s="87"/>
      <c r="L4" s="87"/>
    </row>
    <row r="5" spans="1:12" s="56" customFormat="1" ht="16.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7.2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6.5">
      <c r="A7" s="87"/>
      <c r="B7" s="106"/>
      <c r="C7" s="107"/>
      <c r="D7" s="78"/>
      <c r="E7" s="108" t="s">
        <v>18</v>
      </c>
      <c r="F7" s="476" t="s">
        <v>344</v>
      </c>
      <c r="G7" s="477"/>
      <c r="H7" s="87"/>
      <c r="I7" s="87"/>
      <c r="J7" s="87"/>
      <c r="K7" s="87"/>
      <c r="L7" s="87"/>
    </row>
    <row r="8" spans="1:12" s="56" customFormat="1" ht="16.5">
      <c r="A8" s="87"/>
      <c r="B8" s="109"/>
      <c r="C8" s="110" t="s">
        <v>16</v>
      </c>
      <c r="D8" s="105"/>
      <c r="E8" s="111" t="s">
        <v>19</v>
      </c>
      <c r="F8" s="112"/>
      <c r="G8" s="113" t="s">
        <v>156</v>
      </c>
      <c r="H8" s="87"/>
      <c r="I8" s="87"/>
      <c r="J8" s="87"/>
      <c r="K8" s="87"/>
      <c r="L8" s="87"/>
    </row>
    <row r="9" spans="1:12" s="56" customFormat="1" ht="16.5">
      <c r="A9" s="87"/>
      <c r="B9" s="114" t="s">
        <v>15</v>
      </c>
      <c r="C9" s="110" t="s">
        <v>17</v>
      </c>
      <c r="D9" s="105"/>
      <c r="E9" s="111" t="s">
        <v>155</v>
      </c>
      <c r="F9" s="110" t="s">
        <v>199</v>
      </c>
      <c r="G9" s="115" t="s">
        <v>138</v>
      </c>
      <c r="H9" s="87"/>
      <c r="I9" s="87"/>
      <c r="J9" s="87"/>
      <c r="K9" s="87"/>
      <c r="L9" s="87"/>
    </row>
    <row r="10" spans="1:12" s="56" customFormat="1" ht="16.5">
      <c r="A10" s="87"/>
      <c r="B10" s="116"/>
      <c r="C10" s="117"/>
      <c r="D10" s="118"/>
      <c r="E10" s="119">
        <v>2012</v>
      </c>
      <c r="F10" s="117" t="s">
        <v>155</v>
      </c>
      <c r="G10" s="120" t="s">
        <v>185</v>
      </c>
      <c r="H10" s="87"/>
      <c r="I10" s="87"/>
      <c r="J10" s="87"/>
      <c r="K10" s="87"/>
      <c r="L10" s="87"/>
    </row>
    <row r="11" spans="1:12" s="56" customFormat="1" ht="16.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6.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6.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6.5">
      <c r="B14" s="130" t="s">
        <v>27</v>
      </c>
      <c r="C14" s="90">
        <v>127</v>
      </c>
      <c r="D14" s="89"/>
      <c r="E14" s="128">
        <v>54985649.97</v>
      </c>
      <c r="F14" s="128">
        <v>50761756.98</v>
      </c>
      <c r="G14" s="131">
        <v>100000000</v>
      </c>
      <c r="K14" s="87"/>
      <c r="L14" s="87"/>
    </row>
    <row r="15" spans="2:12" ht="16.5">
      <c r="B15" s="130" t="s">
        <v>28</v>
      </c>
      <c r="C15" s="90">
        <v>588</v>
      </c>
      <c r="D15" s="89"/>
      <c r="E15" s="128">
        <v>53228473.42</v>
      </c>
      <c r="F15" s="128">
        <v>45041836.83</v>
      </c>
      <c r="G15" s="131">
        <v>50000000</v>
      </c>
      <c r="K15" s="87"/>
      <c r="L15" s="87"/>
    </row>
    <row r="16" spans="2:12" ht="16.5">
      <c r="B16" s="130" t="s">
        <v>29</v>
      </c>
      <c r="C16" s="90">
        <v>954</v>
      </c>
      <c r="D16" s="89"/>
      <c r="E16" s="128">
        <v>-664189.41</v>
      </c>
      <c r="F16" s="128">
        <v>-486082.07</v>
      </c>
      <c r="G16" s="131">
        <v>-5000000</v>
      </c>
      <c r="K16" s="87"/>
      <c r="L16" s="87"/>
    </row>
    <row r="17" spans="2:12" ht="16.5">
      <c r="B17" s="130" t="s">
        <v>30</v>
      </c>
      <c r="C17" s="90">
        <v>599</v>
      </c>
      <c r="D17" s="89"/>
      <c r="E17" s="128">
        <v>6235344.7</v>
      </c>
      <c r="F17" s="128">
        <v>2824965.58</v>
      </c>
      <c r="G17" s="131">
        <v>10000000</v>
      </c>
      <c r="K17" s="87"/>
      <c r="L17" s="87"/>
    </row>
    <row r="18" spans="1:12" s="56" customFormat="1" ht="16.5">
      <c r="A18" s="87"/>
      <c r="B18" s="130"/>
      <c r="C18" s="90"/>
      <c r="D18" s="89"/>
      <c r="E18" s="89"/>
      <c r="F18" s="128"/>
      <c r="G18" s="129"/>
      <c r="H18" s="87"/>
      <c r="I18" s="87"/>
      <c r="J18" s="87"/>
      <c r="K18" s="87"/>
      <c r="L18" s="87"/>
    </row>
    <row r="19" spans="1:12" s="56" customFormat="1" ht="16.5">
      <c r="A19" s="87"/>
      <c r="B19" s="126" t="s">
        <v>31</v>
      </c>
      <c r="C19" s="90"/>
      <c r="D19" s="89"/>
      <c r="E19" s="89"/>
      <c r="F19" s="128"/>
      <c r="G19" s="129"/>
      <c r="H19" s="87"/>
      <c r="I19" s="87"/>
      <c r="J19" s="87"/>
      <c r="K19" s="87"/>
      <c r="L19" s="87"/>
    </row>
    <row r="20" spans="1:12" s="56" customFormat="1" ht="16.5">
      <c r="A20" s="87"/>
      <c r="B20" s="130"/>
      <c r="C20" s="90"/>
      <c r="D20" s="89"/>
      <c r="E20" s="89"/>
      <c r="F20" s="128"/>
      <c r="G20" s="129"/>
      <c r="H20" s="87"/>
      <c r="I20" s="87"/>
      <c r="J20" s="87"/>
      <c r="K20" s="87"/>
      <c r="L20" s="87"/>
    </row>
    <row r="21" spans="2:12" ht="16.5">
      <c r="B21" s="130" t="s">
        <v>32</v>
      </c>
      <c r="C21" s="90">
        <v>564</v>
      </c>
      <c r="D21" s="89"/>
      <c r="E21" s="128">
        <v>174415</v>
      </c>
      <c r="F21" s="128">
        <v>158457.5</v>
      </c>
      <c r="G21" s="131">
        <v>200000</v>
      </c>
      <c r="K21" s="87"/>
      <c r="L21" s="87"/>
    </row>
    <row r="22" spans="2:12" ht="16.5">
      <c r="B22" s="130" t="s">
        <v>33</v>
      </c>
      <c r="C22" s="90">
        <v>581</v>
      </c>
      <c r="D22" s="89"/>
      <c r="E22" s="128"/>
      <c r="F22" s="128"/>
      <c r="G22" s="131">
        <v>3000000</v>
      </c>
      <c r="K22" s="87"/>
      <c r="L22" s="87"/>
    </row>
    <row r="23" spans="2:12" ht="16.5">
      <c r="B23" s="130" t="s">
        <v>34</v>
      </c>
      <c r="C23" s="90" t="s">
        <v>90</v>
      </c>
      <c r="D23" s="89"/>
      <c r="E23" s="128">
        <v>2856002.37</v>
      </c>
      <c r="F23" s="128">
        <v>3722986.66</v>
      </c>
      <c r="G23" s="131"/>
      <c r="K23" s="87"/>
      <c r="L23" s="87"/>
    </row>
    <row r="24" spans="2:12" ht="16.5">
      <c r="B24" s="130" t="s">
        <v>139</v>
      </c>
      <c r="C24" s="90" t="s">
        <v>91</v>
      </c>
      <c r="D24" s="89"/>
      <c r="E24" s="128">
        <v>943905.37</v>
      </c>
      <c r="F24" s="128">
        <v>1039658.42</v>
      </c>
      <c r="G24" s="131"/>
      <c r="K24" s="87"/>
      <c r="L24" s="87"/>
    </row>
    <row r="25" spans="2:12" ht="16.5">
      <c r="B25" s="130" t="s">
        <v>345</v>
      </c>
      <c r="C25" s="90" t="s">
        <v>91</v>
      </c>
      <c r="D25" s="89"/>
      <c r="E25" s="128">
        <v>110606.77</v>
      </c>
      <c r="F25" s="128"/>
      <c r="G25" s="131"/>
      <c r="K25" s="87"/>
      <c r="L25" s="87"/>
    </row>
    <row r="26" spans="2:12" ht="16.5">
      <c r="B26" s="130" t="s">
        <v>140</v>
      </c>
      <c r="C26" s="90" t="s">
        <v>92</v>
      </c>
      <c r="D26" s="89"/>
      <c r="E26" s="128">
        <v>24080.4</v>
      </c>
      <c r="F26" s="128">
        <v>3400</v>
      </c>
      <c r="G26" s="131"/>
      <c r="K26" s="87"/>
      <c r="L26" s="87"/>
    </row>
    <row r="27" spans="2:12" ht="16.5">
      <c r="B27" s="130" t="s">
        <v>35</v>
      </c>
      <c r="C27" s="90">
        <v>582</v>
      </c>
      <c r="D27" s="89"/>
      <c r="E27" s="128"/>
      <c r="F27" s="128"/>
      <c r="G27" s="131">
        <v>85000000</v>
      </c>
      <c r="K27" s="87"/>
      <c r="L27" s="87"/>
    </row>
    <row r="28" spans="2:12" ht="16.5">
      <c r="B28" s="132" t="s">
        <v>36</v>
      </c>
      <c r="C28" s="90" t="s">
        <v>93</v>
      </c>
      <c r="D28" s="89"/>
      <c r="E28" s="128">
        <v>14061927.55</v>
      </c>
      <c r="F28" s="128">
        <v>9491826.72</v>
      </c>
      <c r="G28" s="131"/>
      <c r="K28" s="87"/>
      <c r="L28" s="87"/>
    </row>
    <row r="29" spans="2:12" ht="16.5">
      <c r="B29" s="132" t="s">
        <v>346</v>
      </c>
      <c r="C29" s="90" t="s">
        <v>93</v>
      </c>
      <c r="D29" s="89"/>
      <c r="E29" s="128">
        <v>5435.28</v>
      </c>
      <c r="F29" s="128"/>
      <c r="G29" s="131"/>
      <c r="K29" s="87"/>
      <c r="L29" s="87"/>
    </row>
    <row r="30" spans="2:12" ht="16.5">
      <c r="B30" s="132" t="s">
        <v>37</v>
      </c>
      <c r="C30" s="90" t="s">
        <v>94</v>
      </c>
      <c r="D30" s="89"/>
      <c r="E30" s="128">
        <v>13340072.39</v>
      </c>
      <c r="F30" s="128">
        <v>11834838.57</v>
      </c>
      <c r="G30" s="131"/>
      <c r="K30" s="87"/>
      <c r="L30" s="87"/>
    </row>
    <row r="31" spans="2:12" ht="16.5">
      <c r="B31" s="132" t="s">
        <v>347</v>
      </c>
      <c r="C31" s="90" t="s">
        <v>94</v>
      </c>
      <c r="D31" s="89"/>
      <c r="E31" s="128">
        <v>7322.3</v>
      </c>
      <c r="F31" s="128"/>
      <c r="G31" s="131"/>
      <c r="K31" s="87"/>
      <c r="L31" s="87"/>
    </row>
    <row r="32" spans="2:12" ht="16.5">
      <c r="B32" s="132" t="s">
        <v>38</v>
      </c>
      <c r="C32" s="90" t="s">
        <v>95</v>
      </c>
      <c r="D32" s="89"/>
      <c r="E32" s="128">
        <v>7177048.81</v>
      </c>
      <c r="F32" s="128">
        <v>4938099.32</v>
      </c>
      <c r="G32" s="131"/>
      <c r="K32" s="87"/>
      <c r="L32" s="87"/>
    </row>
    <row r="33" spans="2:12" ht="16.5">
      <c r="B33" s="132" t="s">
        <v>348</v>
      </c>
      <c r="C33" s="90" t="s">
        <v>95</v>
      </c>
      <c r="D33" s="89"/>
      <c r="E33" s="128">
        <v>22267.87</v>
      </c>
      <c r="F33" s="128">
        <v>990</v>
      </c>
      <c r="G33" s="131"/>
      <c r="K33" s="87"/>
      <c r="L33" s="87"/>
    </row>
    <row r="34" spans="2:12" ht="16.5">
      <c r="B34" s="132" t="s">
        <v>39</v>
      </c>
      <c r="C34" s="90" t="s">
        <v>96</v>
      </c>
      <c r="D34" s="89"/>
      <c r="E34" s="128">
        <v>10368593.75</v>
      </c>
      <c r="F34" s="128">
        <v>8656530.87</v>
      </c>
      <c r="G34" s="131"/>
      <c r="K34" s="87"/>
      <c r="L34" s="87"/>
    </row>
    <row r="35" spans="2:12" ht="16.5">
      <c r="B35" s="132" t="s">
        <v>40</v>
      </c>
      <c r="C35" s="90" t="s">
        <v>97</v>
      </c>
      <c r="D35" s="89"/>
      <c r="E35" s="128">
        <v>1102139.85</v>
      </c>
      <c r="F35" s="128">
        <v>1333054.93</v>
      </c>
      <c r="G35" s="131"/>
      <c r="K35" s="87"/>
      <c r="L35" s="87"/>
    </row>
    <row r="36" spans="2:12" ht="16.5">
      <c r="B36" s="132" t="s">
        <v>41</v>
      </c>
      <c r="C36" s="90" t="s">
        <v>98</v>
      </c>
      <c r="D36" s="89"/>
      <c r="E36" s="128">
        <v>8325602.37</v>
      </c>
      <c r="F36" s="128">
        <v>6084142.95</v>
      </c>
      <c r="G36" s="131"/>
      <c r="K36" s="87"/>
      <c r="L36" s="87"/>
    </row>
    <row r="37" spans="2:12" ht="16.5">
      <c r="B37" s="132" t="s">
        <v>42</v>
      </c>
      <c r="C37" s="90" t="s">
        <v>99</v>
      </c>
      <c r="D37" s="89"/>
      <c r="E37" s="128">
        <v>12548484.09</v>
      </c>
      <c r="F37" s="128">
        <v>11242873.94</v>
      </c>
      <c r="G37" s="131"/>
      <c r="K37" s="87"/>
      <c r="L37" s="87"/>
    </row>
    <row r="38" spans="2:12" ht="16.5">
      <c r="B38" s="132" t="s">
        <v>43</v>
      </c>
      <c r="C38" s="90" t="s">
        <v>100</v>
      </c>
      <c r="D38" s="89"/>
      <c r="E38" s="128">
        <v>2890239.99</v>
      </c>
      <c r="F38" s="128">
        <v>988340.09</v>
      </c>
      <c r="G38" s="131"/>
      <c r="K38" s="87"/>
      <c r="L38" s="87"/>
    </row>
    <row r="39" spans="2:12" ht="16.5">
      <c r="B39" s="132" t="s">
        <v>349</v>
      </c>
      <c r="C39" s="90" t="s">
        <v>100</v>
      </c>
      <c r="D39" s="89"/>
      <c r="E39" s="128">
        <v>19726.49</v>
      </c>
      <c r="F39" s="128"/>
      <c r="G39" s="131"/>
      <c r="K39" s="87"/>
      <c r="L39" s="87"/>
    </row>
    <row r="40" spans="2:12" ht="16.5">
      <c r="B40" s="132" t="s">
        <v>44</v>
      </c>
      <c r="C40" s="90" t="s">
        <v>101</v>
      </c>
      <c r="D40" s="89"/>
      <c r="E40" s="128">
        <v>3115458.68</v>
      </c>
      <c r="F40" s="128">
        <v>3439737.7</v>
      </c>
      <c r="G40" s="131"/>
      <c r="K40" s="87"/>
      <c r="L40" s="87"/>
    </row>
    <row r="41" spans="2:12" ht="16.5">
      <c r="B41" s="132" t="s">
        <v>45</v>
      </c>
      <c r="C41" s="90" t="s">
        <v>102</v>
      </c>
      <c r="D41" s="89"/>
      <c r="E41" s="128">
        <v>23265</v>
      </c>
      <c r="F41" s="128">
        <v>16913.5</v>
      </c>
      <c r="G41" s="131"/>
      <c r="K41" s="87"/>
      <c r="L41" s="87"/>
    </row>
    <row r="42" spans="2:12" ht="16.5">
      <c r="B42" s="132" t="s">
        <v>46</v>
      </c>
      <c r="C42" s="90" t="s">
        <v>103</v>
      </c>
      <c r="D42" s="89"/>
      <c r="E42" s="128"/>
      <c r="F42" s="128">
        <v>625</v>
      </c>
      <c r="G42" s="131"/>
      <c r="K42" s="87"/>
      <c r="L42" s="87"/>
    </row>
    <row r="43" spans="2:12" ht="16.5">
      <c r="B43" s="132" t="s">
        <v>47</v>
      </c>
      <c r="C43" s="90" t="s">
        <v>104</v>
      </c>
      <c r="D43" s="89"/>
      <c r="E43" s="128">
        <v>41303.08</v>
      </c>
      <c r="F43" s="128">
        <v>331527.13</v>
      </c>
      <c r="G43" s="131"/>
      <c r="K43" s="87"/>
      <c r="L43" s="87"/>
    </row>
    <row r="44" spans="2:12" ht="16.5">
      <c r="B44" s="132" t="s">
        <v>48</v>
      </c>
      <c r="C44" s="90" t="s">
        <v>105</v>
      </c>
      <c r="D44" s="89"/>
      <c r="E44" s="128">
        <v>3759645.08</v>
      </c>
      <c r="F44" s="128">
        <v>3692419.55</v>
      </c>
      <c r="G44" s="131"/>
      <c r="K44" s="87"/>
      <c r="L44" s="87"/>
    </row>
    <row r="45" spans="2:12" ht="16.5">
      <c r="B45" s="132" t="s">
        <v>49</v>
      </c>
      <c r="C45" s="90" t="s">
        <v>106</v>
      </c>
      <c r="D45" s="89"/>
      <c r="E45" s="128">
        <v>60545.14</v>
      </c>
      <c r="F45" s="128">
        <v>80521.97</v>
      </c>
      <c r="G45" s="63"/>
      <c r="K45" s="87"/>
      <c r="L45" s="87"/>
    </row>
    <row r="46" spans="2:12" ht="16.5">
      <c r="B46" s="132" t="s">
        <v>50</v>
      </c>
      <c r="C46" s="90" t="s">
        <v>107</v>
      </c>
      <c r="D46" s="89"/>
      <c r="E46" s="128">
        <v>2199558.8</v>
      </c>
      <c r="F46" s="128">
        <v>2540126.51</v>
      </c>
      <c r="G46" s="63"/>
      <c r="K46" s="87"/>
      <c r="L46" s="87"/>
    </row>
    <row r="47" spans="2:12" ht="16.5">
      <c r="B47" s="132" t="s">
        <v>350</v>
      </c>
      <c r="C47" s="90" t="s">
        <v>107</v>
      </c>
      <c r="D47" s="89"/>
      <c r="E47" s="128">
        <v>192843.62</v>
      </c>
      <c r="F47" s="128">
        <v>816.75</v>
      </c>
      <c r="G47" s="63"/>
      <c r="K47" s="87"/>
      <c r="L47" s="87"/>
    </row>
    <row r="48" spans="2:12" ht="16.5">
      <c r="B48" s="132" t="s">
        <v>51</v>
      </c>
      <c r="C48" s="90" t="s">
        <v>108</v>
      </c>
      <c r="D48" s="89"/>
      <c r="E48" s="128">
        <v>26709.87</v>
      </c>
      <c r="F48" s="128">
        <v>21877.55</v>
      </c>
      <c r="G48" s="63"/>
      <c r="K48" s="87"/>
      <c r="L48" s="87"/>
    </row>
    <row r="49" spans="2:12" ht="16.5">
      <c r="B49" s="132" t="s">
        <v>52</v>
      </c>
      <c r="C49" s="90" t="s">
        <v>109</v>
      </c>
      <c r="D49" s="89"/>
      <c r="E49" s="128"/>
      <c r="F49" s="128"/>
      <c r="G49" s="63"/>
      <c r="K49" s="87"/>
      <c r="L49" s="87"/>
    </row>
    <row r="50" spans="2:12" ht="16.5">
      <c r="B50" s="132" t="s">
        <v>351</v>
      </c>
      <c r="C50" s="90" t="s">
        <v>110</v>
      </c>
      <c r="D50" s="89"/>
      <c r="E50" s="128">
        <v>7825370.53</v>
      </c>
      <c r="F50" s="128">
        <v>7238986.01</v>
      </c>
      <c r="G50" s="63"/>
      <c r="K50" s="87"/>
      <c r="L50" s="87"/>
    </row>
    <row r="51" spans="2:12" ht="16.5">
      <c r="B51" s="132" t="s">
        <v>352</v>
      </c>
      <c r="C51" s="90" t="s">
        <v>110</v>
      </c>
      <c r="D51" s="89"/>
      <c r="E51" s="128">
        <v>98045.13</v>
      </c>
      <c r="F51" s="128">
        <v>4530.23</v>
      </c>
      <c r="G51" s="63"/>
      <c r="K51" s="87"/>
      <c r="L51" s="87"/>
    </row>
    <row r="52" spans="2:12" ht="16.5">
      <c r="B52" s="132" t="s">
        <v>54</v>
      </c>
      <c r="C52" s="90" t="s">
        <v>111</v>
      </c>
      <c r="D52" s="89"/>
      <c r="E52" s="128">
        <v>545571.23</v>
      </c>
      <c r="F52" s="128">
        <v>477234.93</v>
      </c>
      <c r="G52" s="63"/>
      <c r="K52" s="87"/>
      <c r="L52" s="87"/>
    </row>
    <row r="53" spans="2:12" ht="16.5">
      <c r="B53" s="132" t="s">
        <v>55</v>
      </c>
      <c r="C53" s="90" t="s">
        <v>112</v>
      </c>
      <c r="D53" s="89"/>
      <c r="E53" s="128">
        <v>467891.48</v>
      </c>
      <c r="F53" s="128">
        <v>375705.41</v>
      </c>
      <c r="G53" s="63"/>
      <c r="K53" s="87"/>
      <c r="L53" s="87"/>
    </row>
    <row r="54" spans="2:12" ht="16.5">
      <c r="B54" s="132" t="s">
        <v>56</v>
      </c>
      <c r="C54" s="90" t="s">
        <v>113</v>
      </c>
      <c r="D54" s="89"/>
      <c r="E54" s="128">
        <v>7687.93</v>
      </c>
      <c r="F54" s="128">
        <v>8096.57</v>
      </c>
      <c r="G54" s="63"/>
      <c r="K54" s="87"/>
      <c r="L54" s="87"/>
    </row>
    <row r="55" spans="2:12" ht="16.5">
      <c r="B55" s="132" t="s">
        <v>57</v>
      </c>
      <c r="C55" s="90" t="s">
        <v>114</v>
      </c>
      <c r="D55" s="89"/>
      <c r="E55" s="128">
        <v>500</v>
      </c>
      <c r="F55" s="128">
        <v>100</v>
      </c>
      <c r="G55" s="63"/>
      <c r="K55" s="87"/>
      <c r="L55" s="87"/>
    </row>
    <row r="56" spans="2:12" ht="16.5">
      <c r="B56" s="132" t="s">
        <v>58</v>
      </c>
      <c r="C56" s="90" t="s">
        <v>115</v>
      </c>
      <c r="D56" s="89"/>
      <c r="E56" s="128">
        <v>433896.47</v>
      </c>
      <c r="F56" s="128">
        <v>451839.54</v>
      </c>
      <c r="G56" s="63"/>
      <c r="K56" s="87"/>
      <c r="L56" s="87"/>
    </row>
    <row r="57" spans="2:12" ht="16.5">
      <c r="B57" s="130" t="s">
        <v>0</v>
      </c>
      <c r="C57" s="90">
        <v>583</v>
      </c>
      <c r="D57" s="89"/>
      <c r="E57" s="128">
        <v>5941263.12</v>
      </c>
      <c r="F57" s="128">
        <v>5227247.62</v>
      </c>
      <c r="G57" s="63">
        <v>6000000</v>
      </c>
      <c r="K57" s="87"/>
      <c r="L57" s="87"/>
    </row>
    <row r="58" spans="2:12" ht="16.5">
      <c r="B58" s="130" t="s">
        <v>59</v>
      </c>
      <c r="C58" s="90">
        <v>584</v>
      </c>
      <c r="D58" s="89"/>
      <c r="E58" s="128">
        <v>1740716.28</v>
      </c>
      <c r="F58" s="128">
        <v>1356130</v>
      </c>
      <c r="G58" s="63">
        <v>2500000</v>
      </c>
      <c r="K58" s="87"/>
      <c r="L58" s="87"/>
    </row>
    <row r="59" spans="2:12" ht="16.5">
      <c r="B59" s="130" t="s">
        <v>60</v>
      </c>
      <c r="C59" s="90">
        <v>585</v>
      </c>
      <c r="D59" s="89"/>
      <c r="E59" s="128"/>
      <c r="F59" s="128"/>
      <c r="G59" s="63">
        <v>100000</v>
      </c>
      <c r="K59" s="87"/>
      <c r="L59" s="87"/>
    </row>
    <row r="60" spans="2:12" ht="16.5">
      <c r="B60" s="130" t="s">
        <v>61</v>
      </c>
      <c r="C60" s="90">
        <v>586</v>
      </c>
      <c r="D60" s="89"/>
      <c r="E60" s="128">
        <v>84412.92</v>
      </c>
      <c r="F60" s="128">
        <v>54150.36</v>
      </c>
      <c r="G60" s="63">
        <v>75000</v>
      </c>
      <c r="K60" s="87"/>
      <c r="L60" s="87"/>
    </row>
    <row r="61" spans="2:12" ht="16.5">
      <c r="B61" s="130" t="s">
        <v>1</v>
      </c>
      <c r="C61" s="90">
        <v>587</v>
      </c>
      <c r="D61" s="89"/>
      <c r="E61" s="128">
        <v>9565431.03</v>
      </c>
      <c r="F61" s="128">
        <v>2461404.81</v>
      </c>
      <c r="G61" s="63">
        <v>5000000</v>
      </c>
      <c r="K61" s="87"/>
      <c r="L61" s="87"/>
    </row>
    <row r="62" spans="2:12" ht="16.5">
      <c r="B62" s="130" t="s">
        <v>2</v>
      </c>
      <c r="C62" s="90">
        <v>592</v>
      </c>
      <c r="D62" s="89"/>
      <c r="E62" s="128">
        <v>251587.5</v>
      </c>
      <c r="F62" s="128">
        <v>249385</v>
      </c>
      <c r="G62" s="63">
        <v>350000</v>
      </c>
      <c r="K62" s="87"/>
      <c r="L62" s="87"/>
    </row>
    <row r="63" spans="2:12" ht="16.5">
      <c r="B63" s="130" t="s">
        <v>62</v>
      </c>
      <c r="C63" s="90">
        <v>593</v>
      </c>
      <c r="D63" s="89"/>
      <c r="E63" s="128">
        <v>3917332.31</v>
      </c>
      <c r="F63" s="128">
        <v>1667655.36</v>
      </c>
      <c r="G63" s="63">
        <v>4000000</v>
      </c>
      <c r="K63" s="87"/>
      <c r="L63" s="87"/>
    </row>
    <row r="64" spans="2:12" ht="16.5">
      <c r="B64" s="130" t="s">
        <v>180</v>
      </c>
      <c r="C64" s="90" t="s">
        <v>165</v>
      </c>
      <c r="D64" s="89"/>
      <c r="E64" s="128"/>
      <c r="F64" s="128"/>
      <c r="G64" s="63"/>
      <c r="K64" s="87"/>
      <c r="L64" s="87"/>
    </row>
    <row r="65" spans="2:12" ht="16.5">
      <c r="B65" s="130" t="s">
        <v>187</v>
      </c>
      <c r="C65" s="90">
        <v>599</v>
      </c>
      <c r="D65" s="89"/>
      <c r="E65" s="128">
        <v>38677.3</v>
      </c>
      <c r="F65" s="128">
        <v>7491.4</v>
      </c>
      <c r="G65" s="63">
        <v>100000</v>
      </c>
      <c r="K65" s="87"/>
      <c r="L65" s="87"/>
    </row>
    <row r="66" spans="2:12" ht="16.5">
      <c r="B66" s="130" t="s">
        <v>188</v>
      </c>
      <c r="C66" s="90">
        <v>601</v>
      </c>
      <c r="D66" s="89"/>
      <c r="E66" s="128">
        <v>322415</v>
      </c>
      <c r="F66" s="128">
        <v>231240</v>
      </c>
      <c r="G66" s="63">
        <v>200000</v>
      </c>
      <c r="K66" s="87"/>
      <c r="L66" s="87"/>
    </row>
    <row r="67" spans="2:12" ht="16.5">
      <c r="B67" s="130" t="s">
        <v>65</v>
      </c>
      <c r="C67" s="90">
        <v>605</v>
      </c>
      <c r="D67" s="89"/>
      <c r="E67" s="128"/>
      <c r="F67" s="128"/>
      <c r="G67" s="63">
        <v>17000000</v>
      </c>
      <c r="K67" s="87"/>
      <c r="L67" s="87"/>
    </row>
    <row r="68" spans="2:12" ht="16.5">
      <c r="B68" s="130" t="s">
        <v>66</v>
      </c>
      <c r="C68" s="90" t="s">
        <v>116</v>
      </c>
      <c r="D68" s="89"/>
      <c r="E68" s="128">
        <v>5717758.78</v>
      </c>
      <c r="F68" s="128">
        <v>5344548.25</v>
      </c>
      <c r="G68" s="63"/>
      <c r="K68" s="87"/>
      <c r="L68" s="87"/>
    </row>
    <row r="69" spans="2:12" ht="16.5">
      <c r="B69" s="130" t="s">
        <v>353</v>
      </c>
      <c r="C69" s="90" t="s">
        <v>116</v>
      </c>
      <c r="D69" s="89"/>
      <c r="E69" s="128">
        <v>845453.13</v>
      </c>
      <c r="F69" s="128">
        <v>1248325</v>
      </c>
      <c r="G69" s="63"/>
      <c r="K69" s="87"/>
      <c r="L69" s="87"/>
    </row>
    <row r="70" spans="2:12" ht="16.5">
      <c r="B70" s="130" t="s">
        <v>67</v>
      </c>
      <c r="C70" s="90" t="s">
        <v>117</v>
      </c>
      <c r="D70" s="89"/>
      <c r="E70" s="128">
        <v>3965980.59</v>
      </c>
      <c r="F70" s="128">
        <v>3512013.52</v>
      </c>
      <c r="G70" s="63"/>
      <c r="K70" s="87"/>
      <c r="L70" s="87"/>
    </row>
    <row r="71" spans="2:12" ht="16.5">
      <c r="B71" s="130" t="s">
        <v>68</v>
      </c>
      <c r="C71" s="90" t="s">
        <v>118</v>
      </c>
      <c r="D71" s="89"/>
      <c r="E71" s="128">
        <v>5874250.42</v>
      </c>
      <c r="F71" s="128">
        <v>2490243.82</v>
      </c>
      <c r="G71" s="63"/>
      <c r="K71" s="87"/>
      <c r="L71" s="87"/>
    </row>
    <row r="72" spans="2:12" ht="16.5">
      <c r="B72" s="130" t="s">
        <v>69</v>
      </c>
      <c r="C72" s="90" t="s">
        <v>119</v>
      </c>
      <c r="D72" s="89"/>
      <c r="E72" s="128">
        <v>1186589.94</v>
      </c>
      <c r="F72" s="128">
        <v>364067.1</v>
      </c>
      <c r="G72" s="63"/>
      <c r="K72" s="87"/>
      <c r="L72" s="87"/>
    </row>
    <row r="73" spans="2:12" ht="16.5">
      <c r="B73" s="130" t="s">
        <v>70</v>
      </c>
      <c r="C73" s="90" t="s">
        <v>120</v>
      </c>
      <c r="D73" s="89"/>
      <c r="E73" s="128">
        <v>235905</v>
      </c>
      <c r="F73" s="128">
        <v>124250</v>
      </c>
      <c r="G73" s="63"/>
      <c r="K73" s="87"/>
      <c r="L73" s="87"/>
    </row>
    <row r="74" spans="2:12" ht="16.5">
      <c r="B74" s="130" t="s">
        <v>71</v>
      </c>
      <c r="C74" s="90" t="s">
        <v>121</v>
      </c>
      <c r="D74" s="89"/>
      <c r="E74" s="128">
        <v>317305</v>
      </c>
      <c r="F74" s="128">
        <v>183050</v>
      </c>
      <c r="G74" s="63" t="s">
        <v>200</v>
      </c>
      <c r="K74" s="87"/>
      <c r="L74" s="87"/>
    </row>
    <row r="75" spans="2:12" ht="16.5">
      <c r="B75" s="130" t="s">
        <v>72</v>
      </c>
      <c r="C75" s="90" t="s">
        <v>122</v>
      </c>
      <c r="D75" s="89"/>
      <c r="E75" s="128">
        <v>4269148.02</v>
      </c>
      <c r="F75" s="128">
        <v>1993011.27</v>
      </c>
      <c r="G75" s="63"/>
      <c r="K75" s="87"/>
      <c r="L75" s="87"/>
    </row>
    <row r="76" spans="2:12" ht="16.5">
      <c r="B76" s="130" t="s">
        <v>73</v>
      </c>
      <c r="C76" s="90" t="s">
        <v>123</v>
      </c>
      <c r="D76" s="89"/>
      <c r="E76" s="128">
        <v>1125</v>
      </c>
      <c r="F76" s="128"/>
      <c r="G76" s="63"/>
      <c r="K76" s="87"/>
      <c r="L76" s="87"/>
    </row>
    <row r="77" spans="2:12" ht="16.5">
      <c r="B77" s="130" t="s">
        <v>4</v>
      </c>
      <c r="C77" s="90">
        <v>606</v>
      </c>
      <c r="D77" s="89"/>
      <c r="E77" s="128">
        <v>713365</v>
      </c>
      <c r="F77" s="128">
        <v>354080</v>
      </c>
      <c r="G77" s="63">
        <v>700000</v>
      </c>
      <c r="K77" s="87"/>
      <c r="L77" s="87"/>
    </row>
    <row r="78" spans="2:12" ht="16.5">
      <c r="B78" s="130" t="s">
        <v>189</v>
      </c>
      <c r="C78" s="90">
        <v>609</v>
      </c>
      <c r="D78" s="89"/>
      <c r="E78" s="128">
        <v>2496528.36</v>
      </c>
      <c r="F78" s="128">
        <v>2562280.52</v>
      </c>
      <c r="G78" s="63">
        <v>1000000</v>
      </c>
      <c r="K78" s="87"/>
      <c r="L78" s="87"/>
    </row>
    <row r="79" spans="2:12" ht="16.5">
      <c r="B79" s="130" t="s">
        <v>74</v>
      </c>
      <c r="C79" s="90">
        <v>613</v>
      </c>
      <c r="D79" s="89"/>
      <c r="E79" s="128">
        <v>6516449.98</v>
      </c>
      <c r="F79" s="128">
        <v>4611474.5</v>
      </c>
      <c r="G79" s="63">
        <v>8000000</v>
      </c>
      <c r="K79" s="87"/>
      <c r="L79" s="87"/>
    </row>
    <row r="80" spans="2:12" ht="16.5">
      <c r="B80" s="130" t="s">
        <v>6</v>
      </c>
      <c r="C80" s="90">
        <v>616</v>
      </c>
      <c r="D80" s="89"/>
      <c r="E80" s="128">
        <v>5229160</v>
      </c>
      <c r="F80" s="128">
        <v>4961000</v>
      </c>
      <c r="G80" s="63">
        <v>6500000</v>
      </c>
      <c r="K80" s="87"/>
      <c r="L80" s="87"/>
    </row>
    <row r="81" spans="2:12" ht="16.5">
      <c r="B81" s="130" t="s">
        <v>7</v>
      </c>
      <c r="C81" s="90">
        <v>617</v>
      </c>
      <c r="D81" s="89"/>
      <c r="E81" s="128">
        <v>149159.56</v>
      </c>
      <c r="F81" s="128">
        <v>44182.4</v>
      </c>
      <c r="G81" s="63">
        <v>400000</v>
      </c>
      <c r="K81" s="87"/>
      <c r="L81" s="87"/>
    </row>
    <row r="82" spans="2:12" ht="16.5">
      <c r="B82" s="130" t="s">
        <v>8</v>
      </c>
      <c r="C82" s="90">
        <v>619</v>
      </c>
      <c r="D82" s="89"/>
      <c r="E82" s="128"/>
      <c r="F82" s="128"/>
      <c r="G82" s="63">
        <v>3000000</v>
      </c>
      <c r="K82" s="87"/>
      <c r="L82" s="87"/>
    </row>
    <row r="83" spans="2:12" ht="16.5">
      <c r="B83" s="130" t="s">
        <v>157</v>
      </c>
      <c r="C83" s="90" t="s">
        <v>160</v>
      </c>
      <c r="D83" s="89"/>
      <c r="E83" s="128">
        <v>956453.5</v>
      </c>
      <c r="F83" s="128">
        <v>785352</v>
      </c>
      <c r="G83" s="63"/>
      <c r="K83" s="87"/>
      <c r="L83" s="87"/>
    </row>
    <row r="84" spans="2:12" ht="16.5">
      <c r="B84" s="130" t="s">
        <v>158</v>
      </c>
      <c r="C84" s="90" t="s">
        <v>161</v>
      </c>
      <c r="D84" s="89"/>
      <c r="E84" s="128">
        <v>947265</v>
      </c>
      <c r="F84" s="128">
        <v>857218</v>
      </c>
      <c r="G84" s="63"/>
      <c r="K84" s="87"/>
      <c r="L84" s="87"/>
    </row>
    <row r="85" spans="2:12" ht="16.5">
      <c r="B85" s="130" t="s">
        <v>159</v>
      </c>
      <c r="C85" s="90" t="s">
        <v>162</v>
      </c>
      <c r="D85" s="89"/>
      <c r="E85" s="128">
        <v>227080</v>
      </c>
      <c r="F85" s="128">
        <v>65915</v>
      </c>
      <c r="G85" s="63"/>
      <c r="K85" s="87"/>
      <c r="L85" s="87"/>
    </row>
    <row r="86" spans="2:12" ht="16.5">
      <c r="B86" s="130" t="s">
        <v>9</v>
      </c>
      <c r="C86" s="90">
        <v>623</v>
      </c>
      <c r="D86" s="89"/>
      <c r="E86" s="128">
        <v>5953710.47</v>
      </c>
      <c r="F86" s="128">
        <v>2669388.33</v>
      </c>
      <c r="G86" s="63">
        <v>6000000</v>
      </c>
      <c r="K86" s="87"/>
      <c r="L86" s="87"/>
    </row>
    <row r="87" spans="2:12" ht="16.5">
      <c r="B87" s="130" t="s">
        <v>180</v>
      </c>
      <c r="C87" s="90">
        <v>628</v>
      </c>
      <c r="D87" s="89"/>
      <c r="E87" s="128">
        <v>3968973.04</v>
      </c>
      <c r="F87" s="128">
        <v>1301170.49</v>
      </c>
      <c r="G87" s="63">
        <v>5000000</v>
      </c>
      <c r="K87" s="87"/>
      <c r="L87" s="87"/>
    </row>
    <row r="88" spans="2:12" ht="16.5">
      <c r="B88" s="130" t="s">
        <v>201</v>
      </c>
      <c r="C88" s="90">
        <v>629</v>
      </c>
      <c r="D88" s="89"/>
      <c r="E88" s="128"/>
      <c r="F88" s="128"/>
      <c r="G88" s="63">
        <v>5500000</v>
      </c>
      <c r="K88" s="87"/>
      <c r="L88" s="87"/>
    </row>
    <row r="89" spans="2:12" ht="16.5">
      <c r="B89" s="130" t="s">
        <v>75</v>
      </c>
      <c r="C89" s="90">
        <v>636</v>
      </c>
      <c r="D89" s="89"/>
      <c r="E89" s="128"/>
      <c r="F89" s="128"/>
      <c r="G89" s="63">
        <v>12000000</v>
      </c>
      <c r="K89" s="87"/>
      <c r="L89" s="87"/>
    </row>
    <row r="90" spans="2:12" ht="16.5">
      <c r="B90" s="130" t="s">
        <v>76</v>
      </c>
      <c r="C90" s="90" t="s">
        <v>124</v>
      </c>
      <c r="D90" s="89"/>
      <c r="E90" s="128">
        <v>9864988.07</v>
      </c>
      <c r="F90" s="128">
        <v>3112268.27</v>
      </c>
      <c r="G90" s="63"/>
      <c r="K90" s="87"/>
      <c r="L90" s="87"/>
    </row>
    <row r="91" spans="2:12" ht="16.5">
      <c r="B91" s="130" t="s">
        <v>202</v>
      </c>
      <c r="C91" s="90" t="s">
        <v>203</v>
      </c>
      <c r="D91" s="89"/>
      <c r="E91" s="128">
        <v>26483.5</v>
      </c>
      <c r="F91" s="128"/>
      <c r="G91" s="63"/>
      <c r="K91" s="87"/>
      <c r="L91" s="87"/>
    </row>
    <row r="92" spans="2:12" ht="16.5">
      <c r="B92" s="130" t="s">
        <v>204</v>
      </c>
      <c r="C92" s="90" t="s">
        <v>125</v>
      </c>
      <c r="D92" s="89"/>
      <c r="E92" s="128">
        <v>866928.82</v>
      </c>
      <c r="F92" s="128">
        <v>231625.43</v>
      </c>
      <c r="G92" s="63"/>
      <c r="K92" s="87"/>
      <c r="L92" s="87"/>
    </row>
    <row r="93" spans="2:12" ht="16.5">
      <c r="B93" s="130" t="s">
        <v>205</v>
      </c>
      <c r="C93" s="90" t="s">
        <v>206</v>
      </c>
      <c r="D93" s="89"/>
      <c r="E93" s="128">
        <v>12448.62</v>
      </c>
      <c r="F93" s="128"/>
      <c r="G93" s="63"/>
      <c r="K93" s="87"/>
      <c r="L93" s="87"/>
    </row>
    <row r="94" spans="2:12" ht="16.5">
      <c r="B94" s="130" t="s">
        <v>207</v>
      </c>
      <c r="C94" s="90" t="s">
        <v>208</v>
      </c>
      <c r="D94" s="89"/>
      <c r="E94" s="128">
        <v>7573884.18</v>
      </c>
      <c r="F94" s="128">
        <v>2979732.79</v>
      </c>
      <c r="G94" s="63"/>
      <c r="K94" s="87"/>
      <c r="L94" s="87"/>
    </row>
    <row r="95" spans="2:12" ht="16.5">
      <c r="B95" s="130" t="s">
        <v>78</v>
      </c>
      <c r="C95" s="90">
        <v>637</v>
      </c>
      <c r="D95" s="89"/>
      <c r="E95" s="128"/>
      <c r="F95" s="128"/>
      <c r="G95" s="63">
        <v>8000000</v>
      </c>
      <c r="K95" s="87"/>
      <c r="L95" s="87"/>
    </row>
    <row r="96" spans="2:12" ht="16.5">
      <c r="B96" s="130" t="s">
        <v>79</v>
      </c>
      <c r="C96" s="90" t="s">
        <v>126</v>
      </c>
      <c r="D96" s="89"/>
      <c r="E96" s="128">
        <v>6991215.56</v>
      </c>
      <c r="F96" s="128">
        <v>2176338.9</v>
      </c>
      <c r="G96" s="63"/>
      <c r="K96" s="87"/>
      <c r="L96" s="87"/>
    </row>
    <row r="97" spans="2:12" ht="16.5">
      <c r="B97" s="130" t="s">
        <v>80</v>
      </c>
      <c r="C97" s="90" t="s">
        <v>127</v>
      </c>
      <c r="D97" s="89"/>
      <c r="E97" s="128">
        <v>1374599.16</v>
      </c>
      <c r="F97" s="128">
        <v>485691.42</v>
      </c>
      <c r="G97" s="63"/>
      <c r="K97" s="87"/>
      <c r="L97" s="87"/>
    </row>
    <row r="98" spans="2:12" ht="16.5">
      <c r="B98" s="130" t="s">
        <v>81</v>
      </c>
      <c r="C98" s="90" t="s">
        <v>128</v>
      </c>
      <c r="D98" s="89"/>
      <c r="E98" s="128">
        <v>165500</v>
      </c>
      <c r="F98" s="128">
        <v>80160</v>
      </c>
      <c r="G98" s="63"/>
      <c r="K98" s="87"/>
      <c r="L98" s="87"/>
    </row>
    <row r="99" spans="2:12" ht="16.5">
      <c r="B99" s="130" t="s">
        <v>82</v>
      </c>
      <c r="C99" s="90" t="s">
        <v>129</v>
      </c>
      <c r="D99" s="89"/>
      <c r="E99" s="128">
        <v>28640</v>
      </c>
      <c r="F99" s="128"/>
      <c r="G99" s="63"/>
      <c r="K99" s="87"/>
      <c r="L99" s="87"/>
    </row>
    <row r="100" spans="2:12" ht="16.5">
      <c r="B100" s="95" t="s">
        <v>83</v>
      </c>
      <c r="C100" s="90" t="s">
        <v>130</v>
      </c>
      <c r="D100" s="89"/>
      <c r="E100" s="128">
        <v>6700</v>
      </c>
      <c r="F100" s="128"/>
      <c r="G100" s="63"/>
      <c r="K100" s="87"/>
      <c r="L100" s="87"/>
    </row>
    <row r="101" spans="2:12" ht="16.5">
      <c r="B101" s="95" t="s">
        <v>134</v>
      </c>
      <c r="C101" s="90">
        <v>638</v>
      </c>
      <c r="D101" s="89"/>
      <c r="E101" s="128">
        <v>7266227.25</v>
      </c>
      <c r="F101" s="128">
        <v>2406661.14</v>
      </c>
      <c r="G101" s="63">
        <v>6000000</v>
      </c>
      <c r="K101" s="87"/>
      <c r="L101" s="87"/>
    </row>
    <row r="102" spans="2:12" ht="16.5">
      <c r="B102" s="95" t="s">
        <v>10</v>
      </c>
      <c r="C102" s="90">
        <v>642</v>
      </c>
      <c r="D102" s="89"/>
      <c r="E102" s="128"/>
      <c r="F102" s="128"/>
      <c r="G102" s="63"/>
      <c r="K102" s="87"/>
      <c r="L102" s="87"/>
    </row>
    <row r="103" spans="2:12" ht="16.5">
      <c r="B103" s="95" t="s">
        <v>84</v>
      </c>
      <c r="C103" s="90" t="s">
        <v>131</v>
      </c>
      <c r="D103" s="89"/>
      <c r="E103" s="128">
        <f>+591750+3726</f>
        <v>595476</v>
      </c>
      <c r="F103" s="128">
        <v>441703</v>
      </c>
      <c r="G103" s="63">
        <v>200000</v>
      </c>
      <c r="K103" s="87"/>
      <c r="L103" s="87"/>
    </row>
    <row r="104" spans="2:12" ht="16.5">
      <c r="B104" s="95" t="s">
        <v>85</v>
      </c>
      <c r="C104" s="90" t="s">
        <v>132</v>
      </c>
      <c r="D104" s="89"/>
      <c r="E104" s="128">
        <f>+4937094.71-3726</f>
        <v>4933368.71</v>
      </c>
      <c r="F104" s="128">
        <v>2179437</v>
      </c>
      <c r="G104" s="63">
        <v>4000000</v>
      </c>
      <c r="K104" s="87"/>
      <c r="L104" s="87"/>
    </row>
    <row r="105" spans="2:12" ht="16.5">
      <c r="B105" s="95" t="s">
        <v>86</v>
      </c>
      <c r="C105" s="90" t="s">
        <v>133</v>
      </c>
      <c r="D105" s="89"/>
      <c r="E105" s="128">
        <v>268119.24</v>
      </c>
      <c r="F105" s="128">
        <v>194386.45</v>
      </c>
      <c r="G105" s="63">
        <v>300000</v>
      </c>
      <c r="K105" s="87"/>
      <c r="L105" s="87"/>
    </row>
    <row r="106" spans="2:12" ht="16.5">
      <c r="B106" s="95" t="s">
        <v>178</v>
      </c>
      <c r="C106" s="90" t="s">
        <v>176</v>
      </c>
      <c r="D106" s="89"/>
      <c r="E106" s="128">
        <v>14300</v>
      </c>
      <c r="F106" s="128"/>
      <c r="G106" s="63">
        <v>50000</v>
      </c>
      <c r="K106" s="87"/>
      <c r="L106" s="87"/>
    </row>
    <row r="107" spans="2:12" ht="16.5">
      <c r="B107" s="95" t="s">
        <v>177</v>
      </c>
      <c r="C107" s="90" t="s">
        <v>179</v>
      </c>
      <c r="D107" s="89"/>
      <c r="E107" s="128">
        <v>100000</v>
      </c>
      <c r="F107" s="128"/>
      <c r="G107" s="63"/>
      <c r="K107" s="87"/>
      <c r="L107" s="87"/>
    </row>
    <row r="108" spans="2:12" ht="16.5">
      <c r="B108" s="95" t="s">
        <v>193</v>
      </c>
      <c r="C108" s="90" t="s">
        <v>194</v>
      </c>
      <c r="D108" s="89"/>
      <c r="E108" s="128">
        <v>208834</v>
      </c>
      <c r="F108" s="128"/>
      <c r="G108" s="63">
        <v>25000</v>
      </c>
      <c r="K108" s="87"/>
      <c r="L108" s="87"/>
    </row>
    <row r="109" spans="2:12" ht="16.5">
      <c r="B109" s="95" t="s">
        <v>163</v>
      </c>
      <c r="C109" s="90">
        <v>648</v>
      </c>
      <c r="D109" s="89"/>
      <c r="E109" s="128"/>
      <c r="F109" s="128"/>
      <c r="G109" s="63"/>
      <c r="H109" s="93"/>
      <c r="K109" s="87"/>
      <c r="L109" s="87"/>
    </row>
    <row r="110" spans="1:12" ht="16.5">
      <c r="A110" s="87">
        <v>0</v>
      </c>
      <c r="B110" s="95" t="s">
        <v>190</v>
      </c>
      <c r="C110" s="90" t="s">
        <v>191</v>
      </c>
      <c r="D110" s="89"/>
      <c r="E110" s="128"/>
      <c r="F110" s="128"/>
      <c r="G110" s="63"/>
      <c r="K110" s="87"/>
      <c r="L110" s="87"/>
    </row>
    <row r="111" spans="2:12" ht="16.5">
      <c r="B111" s="95" t="s">
        <v>166</v>
      </c>
      <c r="C111" s="90" t="s">
        <v>167</v>
      </c>
      <c r="D111" s="89"/>
      <c r="E111" s="128">
        <f>+1618883+3986.75</f>
        <v>1622869.75</v>
      </c>
      <c r="F111" s="128">
        <v>788286.66</v>
      </c>
      <c r="G111" s="63">
        <v>4000000</v>
      </c>
      <c r="K111" s="87"/>
      <c r="L111" s="87"/>
    </row>
    <row r="112" spans="2:12" ht="16.5">
      <c r="B112" s="95" t="s">
        <v>183</v>
      </c>
      <c r="C112" s="90" t="s">
        <v>184</v>
      </c>
      <c r="D112" s="89"/>
      <c r="E112" s="128"/>
      <c r="F112" s="128"/>
      <c r="G112" s="63"/>
      <c r="K112" s="87"/>
      <c r="L112" s="87"/>
    </row>
    <row r="113" spans="2:12" ht="16.5">
      <c r="B113" s="95" t="s">
        <v>168</v>
      </c>
      <c r="C113" s="90" t="s">
        <v>169</v>
      </c>
      <c r="D113" s="89"/>
      <c r="E113" s="128">
        <f>+2019343.18-3986.75</f>
        <v>2015356.43</v>
      </c>
      <c r="F113" s="128">
        <v>933550.58</v>
      </c>
      <c r="G113" s="63">
        <v>2000000</v>
      </c>
      <c r="K113" s="87"/>
      <c r="L113" s="87"/>
    </row>
    <row r="114" spans="2:12" ht="16.5">
      <c r="B114" s="95" t="s">
        <v>181</v>
      </c>
      <c r="C114" s="90" t="s">
        <v>182</v>
      </c>
      <c r="D114" s="89"/>
      <c r="E114" s="128">
        <v>314.4</v>
      </c>
      <c r="F114" s="128"/>
      <c r="G114" s="63"/>
      <c r="K114" s="87"/>
      <c r="L114" s="87"/>
    </row>
    <row r="115" spans="2:12" ht="16.5">
      <c r="B115" s="95" t="s">
        <v>209</v>
      </c>
      <c r="C115" s="90" t="s">
        <v>192</v>
      </c>
      <c r="D115" s="89"/>
      <c r="E115" s="128">
        <v>30945</v>
      </c>
      <c r="F115" s="128">
        <v>18300</v>
      </c>
      <c r="G115" s="63">
        <v>50000</v>
      </c>
      <c r="K115" s="87"/>
      <c r="L115" s="87"/>
    </row>
    <row r="116" spans="2:12" ht="16.5">
      <c r="B116" s="95" t="s">
        <v>210</v>
      </c>
      <c r="C116" s="90" t="s">
        <v>170</v>
      </c>
      <c r="D116" s="89"/>
      <c r="E116" s="128"/>
      <c r="F116" s="128"/>
      <c r="G116" s="63"/>
      <c r="K116" s="87"/>
      <c r="L116" s="87"/>
    </row>
    <row r="117" spans="2:7" ht="16.5">
      <c r="B117" s="95" t="s">
        <v>211</v>
      </c>
      <c r="C117" s="90" t="s">
        <v>171</v>
      </c>
      <c r="D117" s="89"/>
      <c r="E117" s="128">
        <v>55494024.16</v>
      </c>
      <c r="F117" s="128">
        <v>28851030.42</v>
      </c>
      <c r="G117" s="63"/>
    </row>
    <row r="118" spans="2:7" ht="16.5">
      <c r="B118" s="95" t="s">
        <v>212</v>
      </c>
      <c r="C118" s="90" t="s">
        <v>172</v>
      </c>
      <c r="D118" s="89"/>
      <c r="E118" s="128">
        <v>2581451.05</v>
      </c>
      <c r="F118" s="128">
        <v>1507890.84</v>
      </c>
      <c r="G118" s="63">
        <v>13000000</v>
      </c>
    </row>
    <row r="119" spans="2:7" ht="16.5">
      <c r="B119" s="95" t="s">
        <v>213</v>
      </c>
      <c r="C119" s="90" t="s">
        <v>173</v>
      </c>
      <c r="D119" s="89"/>
      <c r="E119" s="128"/>
      <c r="F119" s="128"/>
      <c r="G119" s="63"/>
    </row>
    <row r="120" spans="2:7" ht="16.5">
      <c r="B120" s="95" t="s">
        <v>214</v>
      </c>
      <c r="C120" s="90" t="s">
        <v>174</v>
      </c>
      <c r="D120" s="89"/>
      <c r="E120" s="128">
        <v>499748.47</v>
      </c>
      <c r="F120" s="128">
        <v>289930</v>
      </c>
      <c r="G120" s="63">
        <v>200000</v>
      </c>
    </row>
    <row r="121" spans="2:7" ht="16.5">
      <c r="B121" s="95" t="s">
        <v>215</v>
      </c>
      <c r="C121" s="90" t="s">
        <v>175</v>
      </c>
      <c r="D121" s="89"/>
      <c r="E121" s="128">
        <v>14100502</v>
      </c>
      <c r="F121" s="128">
        <v>8589899</v>
      </c>
      <c r="G121" s="63"/>
    </row>
    <row r="122" spans="2:7" ht="16.5">
      <c r="B122" s="95" t="s">
        <v>195</v>
      </c>
      <c r="C122" s="90">
        <v>649</v>
      </c>
      <c r="D122" s="89"/>
      <c r="E122" s="128">
        <v>2547086.96</v>
      </c>
      <c r="F122" s="128">
        <v>1282430</v>
      </c>
      <c r="G122" s="63">
        <v>2000000</v>
      </c>
    </row>
    <row r="123" spans="2:7" ht="16.5">
      <c r="B123" s="95" t="s">
        <v>11</v>
      </c>
      <c r="C123" s="90">
        <v>662</v>
      </c>
      <c r="D123" s="89"/>
      <c r="E123" s="128"/>
      <c r="F123" s="128"/>
      <c r="G123" s="63"/>
    </row>
    <row r="124" spans="2:7" ht="16.5">
      <c r="B124" s="95" t="s">
        <v>12</v>
      </c>
      <c r="C124" s="90">
        <v>664</v>
      </c>
      <c r="D124" s="89"/>
      <c r="E124" s="128">
        <v>327388.18</v>
      </c>
      <c r="F124" s="128">
        <v>178830.55</v>
      </c>
      <c r="G124" s="63">
        <v>250000</v>
      </c>
    </row>
    <row r="125" spans="2:7" ht="16.5">
      <c r="B125" s="95" t="s">
        <v>13</v>
      </c>
      <c r="C125" s="90">
        <v>665</v>
      </c>
      <c r="D125" s="89"/>
      <c r="E125" s="128">
        <v>1290617660</v>
      </c>
      <c r="F125" s="128">
        <v>695054769</v>
      </c>
      <c r="G125" s="63">
        <v>1408634000</v>
      </c>
    </row>
    <row r="126" spans="2:7" ht="16.5">
      <c r="B126" s="95" t="s">
        <v>14</v>
      </c>
      <c r="C126" s="90">
        <v>670</v>
      </c>
      <c r="D126" s="89"/>
      <c r="E126" s="128">
        <v>1239718.48</v>
      </c>
      <c r="F126" s="128"/>
      <c r="G126" s="63">
        <v>2000000</v>
      </c>
    </row>
    <row r="127" spans="2:7" ht="16.5">
      <c r="B127" s="95" t="s">
        <v>216</v>
      </c>
      <c r="C127" s="90">
        <v>672</v>
      </c>
      <c r="D127" s="89"/>
      <c r="E127" s="128">
        <v>749423.26</v>
      </c>
      <c r="F127" s="128"/>
      <c r="G127" s="63">
        <v>800000</v>
      </c>
    </row>
    <row r="128" spans="2:7" ht="16.5">
      <c r="B128" s="95" t="s">
        <v>164</v>
      </c>
      <c r="C128" s="90">
        <v>678</v>
      </c>
      <c r="D128" s="89"/>
      <c r="E128" s="128">
        <v>125069079.86</v>
      </c>
      <c r="F128" s="128"/>
      <c r="G128" s="63"/>
    </row>
    <row r="129" spans="2:7" ht="16.5">
      <c r="B129" s="95" t="s">
        <v>354</v>
      </c>
      <c r="C129" s="90" t="s">
        <v>355</v>
      </c>
      <c r="D129" s="89"/>
      <c r="E129" s="128"/>
      <c r="F129" s="128">
        <v>32830</v>
      </c>
      <c r="G129" s="63"/>
    </row>
    <row r="130" spans="2:7" ht="16.5">
      <c r="B130" s="95" t="s">
        <v>359</v>
      </c>
      <c r="C130" s="90" t="s">
        <v>356</v>
      </c>
      <c r="D130" s="89"/>
      <c r="E130" s="128"/>
      <c r="F130" s="128">
        <f>+20766.21+31250</f>
        <v>52016.21</v>
      </c>
      <c r="G130" s="63"/>
    </row>
    <row r="131" spans="2:7" ht="16.5">
      <c r="B131" s="95" t="s">
        <v>360</v>
      </c>
      <c r="C131" s="90" t="s">
        <v>357</v>
      </c>
      <c r="D131" s="89"/>
      <c r="E131" s="128"/>
      <c r="F131" s="128">
        <v>83892.05</v>
      </c>
      <c r="G131" s="63"/>
    </row>
    <row r="132" spans="2:7" ht="16.5">
      <c r="B132" s="95" t="s">
        <v>361</v>
      </c>
      <c r="C132" s="90" t="s">
        <v>358</v>
      </c>
      <c r="D132" s="89"/>
      <c r="E132" s="128"/>
      <c r="F132" s="128">
        <v>3500000</v>
      </c>
      <c r="G132" s="63"/>
    </row>
    <row r="133" spans="2:7" ht="16.5">
      <c r="B133" s="95" t="s">
        <v>186</v>
      </c>
      <c r="C133" s="90"/>
      <c r="D133" s="89"/>
      <c r="E133" s="89"/>
      <c r="F133" s="128"/>
      <c r="G133" s="60"/>
    </row>
    <row r="134" spans="2:7" ht="17.2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976496670.1000001</v>
      </c>
      <c r="G134" s="134">
        <f>SUM(G14:G133)</f>
        <v>1778134000</v>
      </c>
    </row>
    <row r="135" spans="2:7" ht="17.25" thickTop="1">
      <c r="B135" s="92"/>
      <c r="C135" s="90"/>
      <c r="D135" s="89"/>
      <c r="E135" s="99"/>
      <c r="F135" s="100"/>
      <c r="G135" s="135"/>
    </row>
    <row r="136" spans="2:7" ht="16.5">
      <c r="B136" s="95"/>
      <c r="C136" s="90"/>
      <c r="D136" s="89"/>
      <c r="E136" s="62"/>
      <c r="F136" s="55"/>
      <c r="G136" s="63"/>
    </row>
    <row r="137" spans="1:10" s="101" customFormat="1" ht="15.75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6.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6.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6.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6.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6.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6.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6.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6.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6.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6.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6.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6.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6.5">
      <c r="B284" s="57"/>
      <c r="C284" s="105"/>
      <c r="D284" s="81"/>
      <c r="E284" s="81"/>
      <c r="F284" s="80"/>
      <c r="G284" s="57"/>
    </row>
    <row r="285" spans="2:7" ht="16.5">
      <c r="B285" s="57"/>
      <c r="C285" s="105"/>
      <c r="D285" s="81"/>
      <c r="E285" s="81"/>
      <c r="F285" s="80"/>
      <c r="G285" s="57"/>
    </row>
    <row r="286" spans="2:7" ht="16.5">
      <c r="B286" s="57"/>
      <c r="C286" s="105"/>
      <c r="D286" s="81"/>
      <c r="E286" s="81"/>
      <c r="F286" s="80"/>
      <c r="G286" s="57"/>
    </row>
    <row r="287" spans="2:7" ht="16.5">
      <c r="B287" s="57"/>
      <c r="C287" s="105"/>
      <c r="D287" s="81"/>
      <c r="E287" s="81"/>
      <c r="F287" s="80"/>
      <c r="G287" s="57"/>
    </row>
    <row r="288" spans="2:7" ht="16.5">
      <c r="B288" s="57"/>
      <c r="C288" s="105"/>
      <c r="D288" s="81"/>
      <c r="E288" s="81"/>
      <c r="F288" s="80"/>
      <c r="G288" s="57"/>
    </row>
    <row r="289" spans="2:7" ht="16.5">
      <c r="B289" s="57"/>
      <c r="C289" s="105"/>
      <c r="D289" s="81"/>
      <c r="E289" s="81"/>
      <c r="F289" s="80"/>
      <c r="G289" s="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85"/>
      <c r="C304" s="118"/>
      <c r="D304" s="83"/>
      <c r="E304" s="83"/>
      <c r="F304" s="84"/>
      <c r="G304" s="85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6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</sheetData>
  <sheetProtection/>
  <mergeCells count="4">
    <mergeCell ref="B2:G2"/>
    <mergeCell ref="B3:G3"/>
    <mergeCell ref="B4:G4"/>
    <mergeCell ref="F7:G7"/>
  </mergeCells>
  <printOptions horizontalCentered="1"/>
  <pageMargins left="0" right="0" top="0.75" bottom="0.75" header="0.3" footer="0.3"/>
  <pageSetup fitToHeight="0" fitToWidth="1" horizontalDpi="300" verticalDpi="300" orientation="portrait" paperSize="144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4"/>
  <sheetViews>
    <sheetView zoomScalePageLayoutView="0" workbookViewId="0" topLeftCell="A1">
      <selection activeCell="C275" sqref="C275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5.335937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74" t="s">
        <v>373</v>
      </c>
      <c r="C2" s="474"/>
      <c r="D2" s="474"/>
      <c r="E2" s="474"/>
      <c r="F2" s="474"/>
      <c r="G2" s="474"/>
      <c r="H2" s="87"/>
      <c r="I2" s="87"/>
      <c r="J2" s="87"/>
      <c r="K2" s="87"/>
      <c r="L2" s="87"/>
      <c r="M2" s="87"/>
    </row>
    <row r="3" spans="1:13" s="56" customFormat="1" ht="15">
      <c r="A3" s="87"/>
      <c r="B3" s="475" t="s">
        <v>197</v>
      </c>
      <c r="C3" s="475"/>
      <c r="D3" s="475"/>
      <c r="E3" s="475"/>
      <c r="F3" s="475"/>
      <c r="G3" s="475"/>
      <c r="H3" s="87"/>
      <c r="I3" s="87"/>
      <c r="J3" s="87"/>
      <c r="K3" s="87"/>
      <c r="L3" s="87"/>
      <c r="M3" s="87"/>
    </row>
    <row r="4" spans="1:12" s="56" customFormat="1" ht="15">
      <c r="A4" s="87"/>
      <c r="B4" s="475" t="s">
        <v>198</v>
      </c>
      <c r="C4" s="475"/>
      <c r="D4" s="475"/>
      <c r="E4" s="475"/>
      <c r="F4" s="475"/>
      <c r="G4" s="475"/>
      <c r="H4" s="87"/>
      <c r="I4" s="87"/>
      <c r="J4" s="87"/>
      <c r="K4" s="87"/>
      <c r="L4" s="87"/>
    </row>
    <row r="5" spans="1:12" s="56" customFormat="1" ht="16.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7.2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6.5">
      <c r="A7" s="87"/>
      <c r="B7" s="106"/>
      <c r="C7" s="107"/>
      <c r="D7" s="78"/>
      <c r="E7" s="107"/>
      <c r="F7" s="152"/>
      <c r="G7" s="153"/>
      <c r="H7" s="87"/>
      <c r="I7" s="87"/>
      <c r="J7" s="87"/>
      <c r="K7" s="87"/>
      <c r="L7" s="87"/>
    </row>
    <row r="8" spans="1:12" s="56" customFormat="1" ht="16.5">
      <c r="A8" s="87"/>
      <c r="B8" s="109"/>
      <c r="C8" s="110" t="s">
        <v>16</v>
      </c>
      <c r="D8" s="105"/>
      <c r="E8" s="110" t="s">
        <v>362</v>
      </c>
      <c r="F8" s="110" t="s">
        <v>362</v>
      </c>
      <c r="G8" s="150" t="s">
        <v>362</v>
      </c>
      <c r="H8" s="87"/>
      <c r="I8" s="87"/>
      <c r="J8" s="87"/>
      <c r="K8" s="87"/>
      <c r="L8" s="87"/>
    </row>
    <row r="9" spans="1:12" s="56" customFormat="1" ht="16.5">
      <c r="A9" s="87"/>
      <c r="B9" s="114" t="s">
        <v>15</v>
      </c>
      <c r="C9" s="110" t="s">
        <v>17</v>
      </c>
      <c r="D9" s="105"/>
      <c r="E9" s="110">
        <v>2012</v>
      </c>
      <c r="F9" s="110">
        <v>2013</v>
      </c>
      <c r="G9" s="150">
        <v>2014</v>
      </c>
      <c r="H9" s="87"/>
      <c r="I9" s="87"/>
      <c r="J9" s="87"/>
      <c r="K9" s="87"/>
      <c r="L9" s="87"/>
    </row>
    <row r="10" spans="1:12" s="56" customFormat="1" ht="16.5">
      <c r="A10" s="87"/>
      <c r="B10" s="116"/>
      <c r="C10" s="117"/>
      <c r="D10" s="118"/>
      <c r="E10" s="117" t="s">
        <v>155</v>
      </c>
      <c r="F10" s="117" t="s">
        <v>372</v>
      </c>
      <c r="G10" s="151" t="s">
        <v>372</v>
      </c>
      <c r="H10" s="87"/>
      <c r="I10" s="87"/>
      <c r="J10" s="87"/>
      <c r="K10" s="87"/>
      <c r="L10" s="87"/>
    </row>
    <row r="11" spans="1:12" s="56" customFormat="1" ht="16.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6.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6.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6.5">
      <c r="B14" s="130" t="s">
        <v>27</v>
      </c>
      <c r="C14" s="90">
        <v>127</v>
      </c>
      <c r="D14" s="89"/>
      <c r="E14" s="128">
        <v>54985649.97</v>
      </c>
      <c r="F14" s="131">
        <v>100000000</v>
      </c>
      <c r="G14" s="131"/>
      <c r="K14" s="87"/>
      <c r="L14" s="87"/>
    </row>
    <row r="15" spans="2:12" ht="16.5">
      <c r="B15" s="130" t="s">
        <v>28</v>
      </c>
      <c r="C15" s="90">
        <v>588</v>
      </c>
      <c r="D15" s="89"/>
      <c r="E15" s="128">
        <v>53228473.42</v>
      </c>
      <c r="F15" s="131">
        <v>50000000</v>
      </c>
      <c r="G15" s="131"/>
      <c r="K15" s="87"/>
      <c r="L15" s="87"/>
    </row>
    <row r="16" spans="2:12" ht="16.5">
      <c r="B16" s="130" t="s">
        <v>29</v>
      </c>
      <c r="C16" s="90">
        <v>954</v>
      </c>
      <c r="D16" s="89"/>
      <c r="E16" s="128">
        <v>-664189.41</v>
      </c>
      <c r="F16" s="131">
        <v>-5000000</v>
      </c>
      <c r="G16" s="131"/>
      <c r="K16" s="87"/>
      <c r="L16" s="87"/>
    </row>
    <row r="17" spans="2:12" ht="16.5">
      <c r="B17" s="130" t="s">
        <v>30</v>
      </c>
      <c r="C17" s="90">
        <v>599</v>
      </c>
      <c r="D17" s="89"/>
      <c r="E17" s="128">
        <v>6235344.7</v>
      </c>
      <c r="F17" s="131">
        <v>10000000</v>
      </c>
      <c r="G17" s="131"/>
      <c r="K17" s="87"/>
      <c r="L17" s="87"/>
    </row>
    <row r="18" spans="1:12" s="56" customFormat="1" ht="16.5">
      <c r="A18" s="87"/>
      <c r="B18" s="130"/>
      <c r="C18" s="90"/>
      <c r="D18" s="89"/>
      <c r="E18" s="89"/>
      <c r="F18" s="129"/>
      <c r="G18" s="129"/>
      <c r="H18" s="87"/>
      <c r="I18" s="87"/>
      <c r="J18" s="87"/>
      <c r="K18" s="87"/>
      <c r="L18" s="87"/>
    </row>
    <row r="19" spans="1:12" s="56" customFormat="1" ht="16.5">
      <c r="A19" s="87"/>
      <c r="B19" s="126" t="s">
        <v>31</v>
      </c>
      <c r="C19" s="90"/>
      <c r="D19" s="89"/>
      <c r="E19" s="89"/>
      <c r="F19" s="129"/>
      <c r="G19" s="129"/>
      <c r="H19" s="87"/>
      <c r="I19" s="87"/>
      <c r="J19" s="87"/>
      <c r="K19" s="87"/>
      <c r="L19" s="87"/>
    </row>
    <row r="20" spans="1:12" s="56" customFormat="1" ht="16.5">
      <c r="A20" s="87"/>
      <c r="B20" s="130"/>
      <c r="C20" s="90"/>
      <c r="D20" s="89"/>
      <c r="E20" s="89"/>
      <c r="F20" s="129"/>
      <c r="G20" s="129"/>
      <c r="H20" s="87"/>
      <c r="I20" s="87"/>
      <c r="J20" s="87"/>
      <c r="K20" s="87"/>
      <c r="L20" s="87"/>
    </row>
    <row r="21" spans="2:12" ht="16.5">
      <c r="B21" s="130" t="s">
        <v>32</v>
      </c>
      <c r="C21" s="90">
        <v>564</v>
      </c>
      <c r="D21" s="89"/>
      <c r="E21" s="128">
        <v>174415</v>
      </c>
      <c r="F21" s="131">
        <v>200000</v>
      </c>
      <c r="G21" s="131"/>
      <c r="K21" s="87"/>
      <c r="L21" s="87"/>
    </row>
    <row r="22" spans="2:12" ht="16.5">
      <c r="B22" s="130" t="s">
        <v>33</v>
      </c>
      <c r="C22" s="90">
        <v>581</v>
      </c>
      <c r="D22" s="89"/>
      <c r="E22" s="128"/>
      <c r="F22" s="131">
        <v>3000000</v>
      </c>
      <c r="G22" s="131"/>
      <c r="K22" s="87"/>
      <c r="L22" s="87"/>
    </row>
    <row r="23" spans="2:12" ht="16.5">
      <c r="B23" s="130" t="s">
        <v>34</v>
      </c>
      <c r="C23" s="90" t="s">
        <v>90</v>
      </c>
      <c r="D23" s="89"/>
      <c r="E23" s="128">
        <v>2856002.37</v>
      </c>
      <c r="F23" s="131"/>
      <c r="G23" s="131"/>
      <c r="K23" s="87"/>
      <c r="L23" s="87"/>
    </row>
    <row r="24" spans="2:12" ht="16.5">
      <c r="B24" s="130" t="s">
        <v>139</v>
      </c>
      <c r="C24" s="90" t="s">
        <v>91</v>
      </c>
      <c r="D24" s="89"/>
      <c r="E24" s="128">
        <v>943905.37</v>
      </c>
      <c r="F24" s="131"/>
      <c r="G24" s="131"/>
      <c r="K24" s="87"/>
      <c r="L24" s="87"/>
    </row>
    <row r="25" spans="2:12" ht="16.5">
      <c r="B25" s="130" t="s">
        <v>345</v>
      </c>
      <c r="C25" s="90" t="s">
        <v>91</v>
      </c>
      <c r="D25" s="89"/>
      <c r="E25" s="128">
        <v>110606.77</v>
      </c>
      <c r="F25" s="131"/>
      <c r="G25" s="131"/>
      <c r="K25" s="87"/>
      <c r="L25" s="87"/>
    </row>
    <row r="26" spans="2:12" ht="16.5">
      <c r="B26" s="130" t="s">
        <v>140</v>
      </c>
      <c r="C26" s="90" t="s">
        <v>92</v>
      </c>
      <c r="D26" s="89"/>
      <c r="E26" s="128">
        <v>24080.4</v>
      </c>
      <c r="F26" s="131"/>
      <c r="G26" s="131"/>
      <c r="K26" s="87"/>
      <c r="L26" s="87"/>
    </row>
    <row r="27" spans="2:12" ht="16.5">
      <c r="B27" s="130" t="s">
        <v>35</v>
      </c>
      <c r="C27" s="90">
        <v>582</v>
      </c>
      <c r="D27" s="89"/>
      <c r="E27" s="128"/>
      <c r="F27" s="131">
        <v>85000000</v>
      </c>
      <c r="G27" s="131"/>
      <c r="K27" s="87"/>
      <c r="L27" s="87"/>
    </row>
    <row r="28" spans="2:12" ht="16.5">
      <c r="B28" s="132" t="s">
        <v>36</v>
      </c>
      <c r="C28" s="90" t="s">
        <v>93</v>
      </c>
      <c r="D28" s="89"/>
      <c r="E28" s="128">
        <v>14061927.55</v>
      </c>
      <c r="F28" s="131"/>
      <c r="G28" s="131"/>
      <c r="K28" s="87"/>
      <c r="L28" s="87"/>
    </row>
    <row r="29" spans="2:12" ht="16.5">
      <c r="B29" s="132" t="s">
        <v>346</v>
      </c>
      <c r="C29" s="90" t="s">
        <v>93</v>
      </c>
      <c r="D29" s="89"/>
      <c r="E29" s="128">
        <v>5435.28</v>
      </c>
      <c r="F29" s="131"/>
      <c r="G29" s="131"/>
      <c r="K29" s="87"/>
      <c r="L29" s="87"/>
    </row>
    <row r="30" spans="2:12" ht="16.5">
      <c r="B30" s="132" t="s">
        <v>37</v>
      </c>
      <c r="C30" s="90" t="s">
        <v>94</v>
      </c>
      <c r="D30" s="89"/>
      <c r="E30" s="128">
        <v>13340072.39</v>
      </c>
      <c r="F30" s="131"/>
      <c r="G30" s="131"/>
      <c r="K30" s="87"/>
      <c r="L30" s="87"/>
    </row>
    <row r="31" spans="2:12" ht="16.5">
      <c r="B31" s="132" t="s">
        <v>347</v>
      </c>
      <c r="C31" s="90" t="s">
        <v>94</v>
      </c>
      <c r="D31" s="89"/>
      <c r="E31" s="128">
        <v>7322.3</v>
      </c>
      <c r="F31" s="131"/>
      <c r="G31" s="131"/>
      <c r="K31" s="87"/>
      <c r="L31" s="87"/>
    </row>
    <row r="32" spans="2:12" ht="16.5">
      <c r="B32" s="132" t="s">
        <v>38</v>
      </c>
      <c r="C32" s="90" t="s">
        <v>95</v>
      </c>
      <c r="D32" s="89"/>
      <c r="E32" s="128">
        <v>7177048.81</v>
      </c>
      <c r="F32" s="131"/>
      <c r="G32" s="131"/>
      <c r="K32" s="87"/>
      <c r="L32" s="87"/>
    </row>
    <row r="33" spans="2:12" ht="16.5">
      <c r="B33" s="132" t="s">
        <v>348</v>
      </c>
      <c r="C33" s="90" t="s">
        <v>95</v>
      </c>
      <c r="D33" s="89"/>
      <c r="E33" s="128">
        <v>22267.87</v>
      </c>
      <c r="F33" s="131"/>
      <c r="G33" s="131"/>
      <c r="K33" s="87"/>
      <c r="L33" s="87"/>
    </row>
    <row r="34" spans="2:12" ht="16.5">
      <c r="B34" s="132" t="s">
        <v>39</v>
      </c>
      <c r="C34" s="90" t="s">
        <v>96</v>
      </c>
      <c r="D34" s="89"/>
      <c r="E34" s="128">
        <v>10368593.75</v>
      </c>
      <c r="F34" s="131"/>
      <c r="G34" s="131"/>
      <c r="K34" s="87"/>
      <c r="L34" s="87"/>
    </row>
    <row r="35" spans="2:12" ht="16.5">
      <c r="B35" s="132" t="s">
        <v>40</v>
      </c>
      <c r="C35" s="90" t="s">
        <v>97</v>
      </c>
      <c r="D35" s="89"/>
      <c r="E35" s="128">
        <v>1102139.85</v>
      </c>
      <c r="F35" s="131"/>
      <c r="G35" s="131"/>
      <c r="K35" s="87"/>
      <c r="L35" s="87"/>
    </row>
    <row r="36" spans="2:12" ht="16.5">
      <c r="B36" s="132" t="s">
        <v>41</v>
      </c>
      <c r="C36" s="90" t="s">
        <v>98</v>
      </c>
      <c r="D36" s="89"/>
      <c r="E36" s="128">
        <v>8325602.37</v>
      </c>
      <c r="F36" s="131"/>
      <c r="G36" s="131"/>
      <c r="K36" s="87"/>
      <c r="L36" s="87"/>
    </row>
    <row r="37" spans="2:12" ht="16.5">
      <c r="B37" s="132" t="s">
        <v>42</v>
      </c>
      <c r="C37" s="90" t="s">
        <v>99</v>
      </c>
      <c r="D37" s="89"/>
      <c r="E37" s="128">
        <v>12548484.09</v>
      </c>
      <c r="F37" s="131"/>
      <c r="G37" s="131"/>
      <c r="K37" s="87"/>
      <c r="L37" s="87"/>
    </row>
    <row r="38" spans="2:12" ht="16.5">
      <c r="B38" s="132" t="s">
        <v>43</v>
      </c>
      <c r="C38" s="90" t="s">
        <v>100</v>
      </c>
      <c r="D38" s="89"/>
      <c r="E38" s="128">
        <v>2890239.99</v>
      </c>
      <c r="F38" s="131"/>
      <c r="G38" s="131"/>
      <c r="K38" s="87"/>
      <c r="L38" s="87"/>
    </row>
    <row r="39" spans="2:12" ht="16.5">
      <c r="B39" s="132" t="s">
        <v>349</v>
      </c>
      <c r="C39" s="90" t="s">
        <v>100</v>
      </c>
      <c r="D39" s="89"/>
      <c r="E39" s="128">
        <v>19726.49</v>
      </c>
      <c r="F39" s="131"/>
      <c r="G39" s="131"/>
      <c r="K39" s="87"/>
      <c r="L39" s="87"/>
    </row>
    <row r="40" spans="2:12" ht="16.5">
      <c r="B40" s="132" t="s">
        <v>44</v>
      </c>
      <c r="C40" s="90" t="s">
        <v>101</v>
      </c>
      <c r="D40" s="89"/>
      <c r="E40" s="128">
        <v>3115458.68</v>
      </c>
      <c r="F40" s="131"/>
      <c r="G40" s="131"/>
      <c r="K40" s="87"/>
      <c r="L40" s="87"/>
    </row>
    <row r="41" spans="2:12" ht="16.5">
      <c r="B41" s="132" t="s">
        <v>45</v>
      </c>
      <c r="C41" s="90" t="s">
        <v>102</v>
      </c>
      <c r="D41" s="89"/>
      <c r="E41" s="128">
        <v>23265</v>
      </c>
      <c r="F41" s="131"/>
      <c r="G41" s="131"/>
      <c r="K41" s="87"/>
      <c r="L41" s="87"/>
    </row>
    <row r="42" spans="2:12" ht="16.5">
      <c r="B42" s="132" t="s">
        <v>46</v>
      </c>
      <c r="C42" s="90" t="s">
        <v>103</v>
      </c>
      <c r="D42" s="89"/>
      <c r="E42" s="128"/>
      <c r="F42" s="131"/>
      <c r="G42" s="131"/>
      <c r="K42" s="87"/>
      <c r="L42" s="87"/>
    </row>
    <row r="43" spans="2:12" ht="16.5">
      <c r="B43" s="132" t="s">
        <v>47</v>
      </c>
      <c r="C43" s="90" t="s">
        <v>104</v>
      </c>
      <c r="D43" s="89"/>
      <c r="E43" s="128">
        <v>41303.08</v>
      </c>
      <c r="F43" s="131"/>
      <c r="G43" s="131"/>
      <c r="K43" s="87"/>
      <c r="L43" s="87"/>
    </row>
    <row r="44" spans="2:12" ht="16.5">
      <c r="B44" s="132" t="s">
        <v>48</v>
      </c>
      <c r="C44" s="90" t="s">
        <v>105</v>
      </c>
      <c r="D44" s="89"/>
      <c r="E44" s="128">
        <v>3759645.08</v>
      </c>
      <c r="F44" s="131"/>
      <c r="G44" s="131"/>
      <c r="K44" s="87"/>
      <c r="L44" s="87"/>
    </row>
    <row r="45" spans="2:12" ht="16.5">
      <c r="B45" s="132" t="s">
        <v>49</v>
      </c>
      <c r="C45" s="90" t="s">
        <v>106</v>
      </c>
      <c r="D45" s="89"/>
      <c r="E45" s="128">
        <v>60545.14</v>
      </c>
      <c r="F45" s="63"/>
      <c r="G45" s="63"/>
      <c r="K45" s="87"/>
      <c r="L45" s="87"/>
    </row>
    <row r="46" spans="2:12" ht="16.5">
      <c r="B46" s="132" t="s">
        <v>50</v>
      </c>
      <c r="C46" s="90" t="s">
        <v>107</v>
      </c>
      <c r="D46" s="89"/>
      <c r="E46" s="128">
        <v>2199558.8</v>
      </c>
      <c r="F46" s="63"/>
      <c r="G46" s="63"/>
      <c r="K46" s="87"/>
      <c r="L46" s="87"/>
    </row>
    <row r="47" spans="2:12" ht="16.5">
      <c r="B47" s="132" t="s">
        <v>350</v>
      </c>
      <c r="C47" s="90" t="s">
        <v>107</v>
      </c>
      <c r="D47" s="89"/>
      <c r="E47" s="128">
        <v>192843.62</v>
      </c>
      <c r="F47" s="63"/>
      <c r="G47" s="63"/>
      <c r="K47" s="87"/>
      <c r="L47" s="87"/>
    </row>
    <row r="48" spans="2:12" ht="16.5">
      <c r="B48" s="132" t="s">
        <v>51</v>
      </c>
      <c r="C48" s="90" t="s">
        <v>108</v>
      </c>
      <c r="D48" s="89"/>
      <c r="E48" s="128">
        <v>26709.87</v>
      </c>
      <c r="F48" s="63"/>
      <c r="G48" s="63"/>
      <c r="K48" s="87"/>
      <c r="L48" s="87"/>
    </row>
    <row r="49" spans="2:12" ht="16.5">
      <c r="B49" s="132" t="s">
        <v>52</v>
      </c>
      <c r="C49" s="90" t="s">
        <v>109</v>
      </c>
      <c r="D49" s="89"/>
      <c r="E49" s="128"/>
      <c r="F49" s="63"/>
      <c r="G49" s="63"/>
      <c r="K49" s="87"/>
      <c r="L49" s="87"/>
    </row>
    <row r="50" spans="2:12" ht="16.5">
      <c r="B50" s="132" t="s">
        <v>351</v>
      </c>
      <c r="C50" s="90" t="s">
        <v>110</v>
      </c>
      <c r="D50" s="89"/>
      <c r="E50" s="128">
        <v>7825370.53</v>
      </c>
      <c r="F50" s="63"/>
      <c r="G50" s="63"/>
      <c r="K50" s="87"/>
      <c r="L50" s="87"/>
    </row>
    <row r="51" spans="2:12" ht="16.5">
      <c r="B51" s="132" t="s">
        <v>352</v>
      </c>
      <c r="C51" s="90" t="s">
        <v>110</v>
      </c>
      <c r="D51" s="89"/>
      <c r="E51" s="128">
        <v>98045.13</v>
      </c>
      <c r="F51" s="63"/>
      <c r="G51" s="63"/>
      <c r="K51" s="87"/>
      <c r="L51" s="87"/>
    </row>
    <row r="52" spans="2:12" ht="16.5">
      <c r="B52" s="132" t="s">
        <v>54</v>
      </c>
      <c r="C52" s="90" t="s">
        <v>111</v>
      </c>
      <c r="D52" s="89"/>
      <c r="E52" s="128">
        <v>545571.23</v>
      </c>
      <c r="F52" s="63"/>
      <c r="G52" s="63"/>
      <c r="K52" s="87"/>
      <c r="L52" s="87"/>
    </row>
    <row r="53" spans="2:12" ht="16.5">
      <c r="B53" s="132" t="s">
        <v>55</v>
      </c>
      <c r="C53" s="90" t="s">
        <v>112</v>
      </c>
      <c r="D53" s="89"/>
      <c r="E53" s="128">
        <v>467891.48</v>
      </c>
      <c r="F53" s="63"/>
      <c r="G53" s="63"/>
      <c r="K53" s="87"/>
      <c r="L53" s="87"/>
    </row>
    <row r="54" spans="2:12" ht="16.5">
      <c r="B54" s="132" t="s">
        <v>56</v>
      </c>
      <c r="C54" s="90" t="s">
        <v>113</v>
      </c>
      <c r="D54" s="89"/>
      <c r="E54" s="128">
        <v>7687.93</v>
      </c>
      <c r="F54" s="63"/>
      <c r="G54" s="63"/>
      <c r="K54" s="87"/>
      <c r="L54" s="87"/>
    </row>
    <row r="55" spans="2:12" ht="16.5">
      <c r="B55" s="132" t="s">
        <v>57</v>
      </c>
      <c r="C55" s="90" t="s">
        <v>114</v>
      </c>
      <c r="D55" s="89"/>
      <c r="E55" s="128">
        <v>500</v>
      </c>
      <c r="F55" s="63"/>
      <c r="G55" s="63"/>
      <c r="K55" s="87"/>
      <c r="L55" s="87"/>
    </row>
    <row r="56" spans="2:12" ht="16.5">
      <c r="B56" s="132" t="s">
        <v>58</v>
      </c>
      <c r="C56" s="90" t="s">
        <v>115</v>
      </c>
      <c r="D56" s="89"/>
      <c r="E56" s="128">
        <v>433896.47</v>
      </c>
      <c r="F56" s="63"/>
      <c r="G56" s="63"/>
      <c r="K56" s="87"/>
      <c r="L56" s="87"/>
    </row>
    <row r="57" spans="2:12" ht="16.5">
      <c r="B57" s="130" t="s">
        <v>0</v>
      </c>
      <c r="C57" s="90">
        <v>583</v>
      </c>
      <c r="D57" s="89"/>
      <c r="E57" s="128">
        <v>5941263.12</v>
      </c>
      <c r="F57" s="63">
        <v>6000000</v>
      </c>
      <c r="G57" s="63"/>
      <c r="K57" s="87"/>
      <c r="L57" s="87"/>
    </row>
    <row r="58" spans="2:12" ht="16.5">
      <c r="B58" s="130" t="s">
        <v>59</v>
      </c>
      <c r="C58" s="90">
        <v>584</v>
      </c>
      <c r="D58" s="89"/>
      <c r="E58" s="128">
        <v>1740716.28</v>
      </c>
      <c r="F58" s="63">
        <v>2500000</v>
      </c>
      <c r="G58" s="63"/>
      <c r="K58" s="87"/>
      <c r="L58" s="87"/>
    </row>
    <row r="59" spans="2:12" ht="16.5">
      <c r="B59" s="130" t="s">
        <v>60</v>
      </c>
      <c r="C59" s="90">
        <v>585</v>
      </c>
      <c r="D59" s="89"/>
      <c r="E59" s="128"/>
      <c r="F59" s="63">
        <v>100000</v>
      </c>
      <c r="G59" s="63"/>
      <c r="K59" s="87"/>
      <c r="L59" s="87"/>
    </row>
    <row r="60" spans="2:12" ht="16.5">
      <c r="B60" s="130" t="s">
        <v>61</v>
      </c>
      <c r="C60" s="90">
        <v>586</v>
      </c>
      <c r="D60" s="89"/>
      <c r="E60" s="128">
        <v>84412.92</v>
      </c>
      <c r="F60" s="63">
        <v>75000</v>
      </c>
      <c r="G60" s="63"/>
      <c r="K60" s="87"/>
      <c r="L60" s="87"/>
    </row>
    <row r="61" spans="2:12" ht="16.5">
      <c r="B61" s="130" t="s">
        <v>1</v>
      </c>
      <c r="C61" s="90">
        <v>587</v>
      </c>
      <c r="D61" s="89"/>
      <c r="E61" s="128">
        <v>9565431.03</v>
      </c>
      <c r="F61" s="63">
        <v>5000000</v>
      </c>
      <c r="G61" s="63"/>
      <c r="K61" s="87"/>
      <c r="L61" s="87"/>
    </row>
    <row r="62" spans="2:12" ht="16.5">
      <c r="B62" s="130" t="s">
        <v>2</v>
      </c>
      <c r="C62" s="90">
        <v>592</v>
      </c>
      <c r="D62" s="89"/>
      <c r="E62" s="128">
        <v>251587.5</v>
      </c>
      <c r="F62" s="63">
        <v>350000</v>
      </c>
      <c r="G62" s="63"/>
      <c r="K62" s="87"/>
      <c r="L62" s="87"/>
    </row>
    <row r="63" spans="2:12" ht="16.5">
      <c r="B63" s="130" t="s">
        <v>62</v>
      </c>
      <c r="C63" s="90">
        <v>593</v>
      </c>
      <c r="D63" s="89"/>
      <c r="E63" s="128">
        <v>3917332.31</v>
      </c>
      <c r="F63" s="63">
        <v>4000000</v>
      </c>
      <c r="G63" s="63"/>
      <c r="K63" s="87"/>
      <c r="L63" s="87"/>
    </row>
    <row r="64" spans="2:12" ht="16.5">
      <c r="B64" s="130" t="s">
        <v>180</v>
      </c>
      <c r="C64" s="90" t="s">
        <v>165</v>
      </c>
      <c r="D64" s="89"/>
      <c r="E64" s="128"/>
      <c r="F64" s="63"/>
      <c r="G64" s="63"/>
      <c r="K64" s="87"/>
      <c r="L64" s="87"/>
    </row>
    <row r="65" spans="2:12" ht="16.5">
      <c r="B65" s="130" t="s">
        <v>187</v>
      </c>
      <c r="C65" s="90">
        <v>599</v>
      </c>
      <c r="D65" s="89"/>
      <c r="E65" s="128">
        <v>38677.3</v>
      </c>
      <c r="F65" s="63">
        <v>100000</v>
      </c>
      <c r="G65" s="63"/>
      <c r="K65" s="87"/>
      <c r="L65" s="87"/>
    </row>
    <row r="66" spans="2:12" ht="16.5">
      <c r="B66" s="130" t="s">
        <v>188</v>
      </c>
      <c r="C66" s="90">
        <v>601</v>
      </c>
      <c r="D66" s="89"/>
      <c r="E66" s="128">
        <v>322415</v>
      </c>
      <c r="F66" s="63">
        <v>200000</v>
      </c>
      <c r="G66" s="63"/>
      <c r="K66" s="87"/>
      <c r="L66" s="87"/>
    </row>
    <row r="67" spans="2:12" ht="16.5">
      <c r="B67" s="130" t="s">
        <v>65</v>
      </c>
      <c r="C67" s="90">
        <v>605</v>
      </c>
      <c r="D67" s="89"/>
      <c r="E67" s="128"/>
      <c r="F67" s="63">
        <v>17000000</v>
      </c>
      <c r="G67" s="63"/>
      <c r="K67" s="87"/>
      <c r="L67" s="87"/>
    </row>
    <row r="68" spans="2:12" ht="16.5">
      <c r="B68" s="130" t="s">
        <v>66</v>
      </c>
      <c r="C68" s="90" t="s">
        <v>116</v>
      </c>
      <c r="D68" s="89"/>
      <c r="E68" s="128">
        <v>5717758.78</v>
      </c>
      <c r="F68" s="63"/>
      <c r="G68" s="63"/>
      <c r="K68" s="87"/>
      <c r="L68" s="87"/>
    </row>
    <row r="69" spans="2:12" ht="16.5">
      <c r="B69" s="130" t="s">
        <v>353</v>
      </c>
      <c r="C69" s="90" t="s">
        <v>116</v>
      </c>
      <c r="D69" s="89"/>
      <c r="E69" s="128">
        <v>845453.13</v>
      </c>
      <c r="F69" s="63"/>
      <c r="G69" s="63"/>
      <c r="K69" s="87"/>
      <c r="L69" s="87"/>
    </row>
    <row r="70" spans="2:12" ht="16.5">
      <c r="B70" s="130" t="s">
        <v>67</v>
      </c>
      <c r="C70" s="90" t="s">
        <v>117</v>
      </c>
      <c r="D70" s="89"/>
      <c r="E70" s="128">
        <v>3965980.59</v>
      </c>
      <c r="F70" s="63"/>
      <c r="G70" s="63"/>
      <c r="K70" s="87"/>
      <c r="L70" s="87"/>
    </row>
    <row r="71" spans="2:12" ht="16.5">
      <c r="B71" s="130" t="s">
        <v>68</v>
      </c>
      <c r="C71" s="90" t="s">
        <v>118</v>
      </c>
      <c r="D71" s="89"/>
      <c r="E71" s="128">
        <v>5874250.42</v>
      </c>
      <c r="F71" s="63"/>
      <c r="G71" s="63"/>
      <c r="K71" s="87"/>
      <c r="L71" s="87"/>
    </row>
    <row r="72" spans="2:12" ht="16.5">
      <c r="B72" s="130" t="s">
        <v>69</v>
      </c>
      <c r="C72" s="90" t="s">
        <v>119</v>
      </c>
      <c r="D72" s="89"/>
      <c r="E72" s="128">
        <v>1186589.94</v>
      </c>
      <c r="F72" s="63"/>
      <c r="G72" s="63"/>
      <c r="K72" s="87"/>
      <c r="L72" s="87"/>
    </row>
    <row r="73" spans="2:12" ht="16.5">
      <c r="B73" s="130" t="s">
        <v>70</v>
      </c>
      <c r="C73" s="90" t="s">
        <v>120</v>
      </c>
      <c r="D73" s="89"/>
      <c r="E73" s="128">
        <v>235905</v>
      </c>
      <c r="F73" s="63"/>
      <c r="G73" s="63"/>
      <c r="K73" s="87"/>
      <c r="L73" s="87"/>
    </row>
    <row r="74" spans="2:12" ht="16.5">
      <c r="B74" s="130" t="s">
        <v>71</v>
      </c>
      <c r="C74" s="90" t="s">
        <v>121</v>
      </c>
      <c r="D74" s="89"/>
      <c r="E74" s="128">
        <v>317305</v>
      </c>
      <c r="F74" s="63" t="s">
        <v>200</v>
      </c>
      <c r="G74" s="63"/>
      <c r="K74" s="87"/>
      <c r="L74" s="87"/>
    </row>
    <row r="75" spans="2:12" ht="16.5">
      <c r="B75" s="130" t="s">
        <v>72</v>
      </c>
      <c r="C75" s="90" t="s">
        <v>122</v>
      </c>
      <c r="D75" s="89"/>
      <c r="E75" s="128">
        <v>4269148.02</v>
      </c>
      <c r="F75" s="63"/>
      <c r="G75" s="63"/>
      <c r="K75" s="87"/>
      <c r="L75" s="87"/>
    </row>
    <row r="76" spans="2:12" ht="16.5">
      <c r="B76" s="130" t="s">
        <v>73</v>
      </c>
      <c r="C76" s="90" t="s">
        <v>123</v>
      </c>
      <c r="D76" s="89"/>
      <c r="E76" s="128">
        <v>1125</v>
      </c>
      <c r="F76" s="63"/>
      <c r="G76" s="63"/>
      <c r="K76" s="87"/>
      <c r="L76" s="87"/>
    </row>
    <row r="77" spans="2:12" ht="16.5">
      <c r="B77" s="130" t="s">
        <v>4</v>
      </c>
      <c r="C77" s="90">
        <v>606</v>
      </c>
      <c r="D77" s="89"/>
      <c r="E77" s="128">
        <v>713365</v>
      </c>
      <c r="F77" s="63">
        <v>700000</v>
      </c>
      <c r="G77" s="63"/>
      <c r="K77" s="87"/>
      <c r="L77" s="87"/>
    </row>
    <row r="78" spans="2:12" ht="16.5">
      <c r="B78" s="130" t="s">
        <v>189</v>
      </c>
      <c r="C78" s="90">
        <v>609</v>
      </c>
      <c r="D78" s="89"/>
      <c r="E78" s="128">
        <v>2496528.36</v>
      </c>
      <c r="F78" s="63">
        <v>1000000</v>
      </c>
      <c r="G78" s="63"/>
      <c r="K78" s="87"/>
      <c r="L78" s="87"/>
    </row>
    <row r="79" spans="2:12" ht="16.5">
      <c r="B79" s="130" t="s">
        <v>74</v>
      </c>
      <c r="C79" s="90">
        <v>613</v>
      </c>
      <c r="D79" s="89"/>
      <c r="E79" s="128">
        <v>6516449.98</v>
      </c>
      <c r="F79" s="63">
        <v>8000000</v>
      </c>
      <c r="G79" s="63"/>
      <c r="K79" s="87"/>
      <c r="L79" s="87"/>
    </row>
    <row r="80" spans="2:12" ht="16.5">
      <c r="B80" s="130" t="s">
        <v>6</v>
      </c>
      <c r="C80" s="90">
        <v>616</v>
      </c>
      <c r="D80" s="89"/>
      <c r="E80" s="128">
        <v>5229160</v>
      </c>
      <c r="F80" s="63">
        <v>6500000</v>
      </c>
      <c r="G80" s="63"/>
      <c r="K80" s="87"/>
      <c r="L80" s="87"/>
    </row>
    <row r="81" spans="2:12" ht="16.5">
      <c r="B81" s="130" t="s">
        <v>7</v>
      </c>
      <c r="C81" s="90">
        <v>617</v>
      </c>
      <c r="D81" s="89"/>
      <c r="E81" s="128">
        <v>149159.56</v>
      </c>
      <c r="F81" s="63">
        <v>400000</v>
      </c>
      <c r="G81" s="63"/>
      <c r="K81" s="87"/>
      <c r="L81" s="87"/>
    </row>
    <row r="82" spans="2:12" ht="16.5">
      <c r="B82" s="130" t="s">
        <v>8</v>
      </c>
      <c r="C82" s="90">
        <v>619</v>
      </c>
      <c r="D82" s="89"/>
      <c r="E82" s="128"/>
      <c r="F82" s="63">
        <v>3000000</v>
      </c>
      <c r="G82" s="63"/>
      <c r="K82" s="87"/>
      <c r="L82" s="87"/>
    </row>
    <row r="83" spans="2:12" ht="16.5">
      <c r="B83" s="130" t="s">
        <v>157</v>
      </c>
      <c r="C83" s="90" t="s">
        <v>160</v>
      </c>
      <c r="D83" s="89"/>
      <c r="E83" s="128">
        <v>956453.5</v>
      </c>
      <c r="F83" s="63"/>
      <c r="G83" s="63"/>
      <c r="K83" s="87"/>
      <c r="L83" s="87"/>
    </row>
    <row r="84" spans="2:12" ht="16.5">
      <c r="B84" s="130" t="s">
        <v>158</v>
      </c>
      <c r="C84" s="90" t="s">
        <v>161</v>
      </c>
      <c r="D84" s="89"/>
      <c r="E84" s="128">
        <v>947265</v>
      </c>
      <c r="F84" s="63"/>
      <c r="G84" s="63"/>
      <c r="K84" s="87"/>
      <c r="L84" s="87"/>
    </row>
    <row r="85" spans="2:12" ht="16.5">
      <c r="B85" s="130" t="s">
        <v>159</v>
      </c>
      <c r="C85" s="90" t="s">
        <v>162</v>
      </c>
      <c r="D85" s="89"/>
      <c r="E85" s="128">
        <v>227080</v>
      </c>
      <c r="F85" s="63"/>
      <c r="G85" s="63"/>
      <c r="K85" s="87"/>
      <c r="L85" s="87"/>
    </row>
    <row r="86" spans="2:12" ht="16.5">
      <c r="B86" s="130" t="s">
        <v>9</v>
      </c>
      <c r="C86" s="90">
        <v>623</v>
      </c>
      <c r="D86" s="89"/>
      <c r="E86" s="128">
        <v>5953710.47</v>
      </c>
      <c r="F86" s="63">
        <v>6000000</v>
      </c>
      <c r="G86" s="63"/>
      <c r="K86" s="87"/>
      <c r="L86" s="87"/>
    </row>
    <row r="87" spans="2:12" ht="16.5">
      <c r="B87" s="130" t="s">
        <v>180</v>
      </c>
      <c r="C87" s="90">
        <v>628</v>
      </c>
      <c r="D87" s="89"/>
      <c r="E87" s="128">
        <v>3968973.04</v>
      </c>
      <c r="F87" s="63">
        <v>5000000</v>
      </c>
      <c r="G87" s="63"/>
      <c r="K87" s="87"/>
      <c r="L87" s="87"/>
    </row>
    <row r="88" spans="2:12" ht="16.5">
      <c r="B88" s="130" t="s">
        <v>201</v>
      </c>
      <c r="C88" s="90">
        <v>629</v>
      </c>
      <c r="D88" s="89"/>
      <c r="E88" s="128"/>
      <c r="F88" s="63">
        <v>5500000</v>
      </c>
      <c r="G88" s="63"/>
      <c r="K88" s="87"/>
      <c r="L88" s="87"/>
    </row>
    <row r="89" spans="2:12" ht="16.5">
      <c r="B89" s="130" t="s">
        <v>75</v>
      </c>
      <c r="C89" s="90">
        <v>636</v>
      </c>
      <c r="D89" s="89"/>
      <c r="E89" s="128"/>
      <c r="F89" s="63">
        <v>12000000</v>
      </c>
      <c r="G89" s="63"/>
      <c r="K89" s="87"/>
      <c r="L89" s="87"/>
    </row>
    <row r="90" spans="2:12" ht="16.5">
      <c r="B90" s="130" t="s">
        <v>76</v>
      </c>
      <c r="C90" s="90" t="s">
        <v>124</v>
      </c>
      <c r="D90" s="89"/>
      <c r="E90" s="128">
        <v>9864988.07</v>
      </c>
      <c r="F90" s="63"/>
      <c r="G90" s="63"/>
      <c r="K90" s="87"/>
      <c r="L90" s="87"/>
    </row>
    <row r="91" spans="2:12" ht="16.5">
      <c r="B91" s="130" t="s">
        <v>202</v>
      </c>
      <c r="C91" s="90" t="s">
        <v>203</v>
      </c>
      <c r="D91" s="89"/>
      <c r="E91" s="128">
        <v>26483.5</v>
      </c>
      <c r="F91" s="63"/>
      <c r="G91" s="63"/>
      <c r="K91" s="87"/>
      <c r="L91" s="87"/>
    </row>
    <row r="92" spans="2:12" ht="16.5">
      <c r="B92" s="130" t="s">
        <v>204</v>
      </c>
      <c r="C92" s="90" t="s">
        <v>125</v>
      </c>
      <c r="D92" s="89"/>
      <c r="E92" s="128">
        <v>866928.82</v>
      </c>
      <c r="F92" s="63"/>
      <c r="G92" s="63"/>
      <c r="K92" s="87"/>
      <c r="L92" s="87"/>
    </row>
    <row r="93" spans="2:12" ht="16.5">
      <c r="B93" s="130" t="s">
        <v>205</v>
      </c>
      <c r="C93" s="90" t="s">
        <v>206</v>
      </c>
      <c r="D93" s="89"/>
      <c r="E93" s="128">
        <v>12448.62</v>
      </c>
      <c r="F93" s="63"/>
      <c r="G93" s="63"/>
      <c r="K93" s="87"/>
      <c r="L93" s="87"/>
    </row>
    <row r="94" spans="2:12" ht="16.5">
      <c r="B94" s="130" t="s">
        <v>207</v>
      </c>
      <c r="C94" s="90" t="s">
        <v>208</v>
      </c>
      <c r="D94" s="89"/>
      <c r="E94" s="128">
        <v>7573884.18</v>
      </c>
      <c r="F94" s="63"/>
      <c r="G94" s="63"/>
      <c r="K94" s="87"/>
      <c r="L94" s="87"/>
    </row>
    <row r="95" spans="2:12" ht="16.5">
      <c r="B95" s="130" t="s">
        <v>78</v>
      </c>
      <c r="C95" s="90">
        <v>637</v>
      </c>
      <c r="D95" s="89"/>
      <c r="E95" s="128"/>
      <c r="F95" s="63">
        <v>8000000</v>
      </c>
      <c r="G95" s="63"/>
      <c r="K95" s="87"/>
      <c r="L95" s="87"/>
    </row>
    <row r="96" spans="2:12" ht="16.5">
      <c r="B96" s="130" t="s">
        <v>79</v>
      </c>
      <c r="C96" s="90" t="s">
        <v>126</v>
      </c>
      <c r="D96" s="89"/>
      <c r="E96" s="128">
        <v>6991215.56</v>
      </c>
      <c r="F96" s="63"/>
      <c r="G96" s="63"/>
      <c r="K96" s="87"/>
      <c r="L96" s="87"/>
    </row>
    <row r="97" spans="2:12" ht="16.5">
      <c r="B97" s="130" t="s">
        <v>80</v>
      </c>
      <c r="C97" s="90" t="s">
        <v>127</v>
      </c>
      <c r="D97" s="89"/>
      <c r="E97" s="128">
        <v>1374599.16</v>
      </c>
      <c r="F97" s="63"/>
      <c r="G97" s="63"/>
      <c r="K97" s="87"/>
      <c r="L97" s="87"/>
    </row>
    <row r="98" spans="2:12" ht="16.5">
      <c r="B98" s="130" t="s">
        <v>81</v>
      </c>
      <c r="C98" s="90" t="s">
        <v>128</v>
      </c>
      <c r="D98" s="89"/>
      <c r="E98" s="128">
        <v>165500</v>
      </c>
      <c r="F98" s="63"/>
      <c r="G98" s="63"/>
      <c r="K98" s="87"/>
      <c r="L98" s="87"/>
    </row>
    <row r="99" spans="2:12" ht="16.5">
      <c r="B99" s="130" t="s">
        <v>82</v>
      </c>
      <c r="C99" s="90" t="s">
        <v>129</v>
      </c>
      <c r="D99" s="89"/>
      <c r="E99" s="128">
        <v>28640</v>
      </c>
      <c r="F99" s="63"/>
      <c r="G99" s="63"/>
      <c r="K99" s="87"/>
      <c r="L99" s="87"/>
    </row>
    <row r="100" spans="2:12" ht="16.5">
      <c r="B100" s="95" t="s">
        <v>83</v>
      </c>
      <c r="C100" s="90" t="s">
        <v>130</v>
      </c>
      <c r="D100" s="89"/>
      <c r="E100" s="128">
        <v>6700</v>
      </c>
      <c r="F100" s="63"/>
      <c r="G100" s="63"/>
      <c r="K100" s="87"/>
      <c r="L100" s="87"/>
    </row>
    <row r="101" spans="2:12" ht="16.5">
      <c r="B101" s="95" t="s">
        <v>134</v>
      </c>
      <c r="C101" s="90">
        <v>638</v>
      </c>
      <c r="D101" s="89"/>
      <c r="E101" s="128">
        <v>7266227.25</v>
      </c>
      <c r="F101" s="63">
        <v>6000000</v>
      </c>
      <c r="G101" s="63"/>
      <c r="K101" s="87"/>
      <c r="L101" s="87"/>
    </row>
    <row r="102" spans="2:12" ht="16.5">
      <c r="B102" s="95" t="s">
        <v>10</v>
      </c>
      <c r="C102" s="90">
        <v>642</v>
      </c>
      <c r="D102" s="89"/>
      <c r="E102" s="128"/>
      <c r="F102" s="63"/>
      <c r="G102" s="63"/>
      <c r="K102" s="87"/>
      <c r="L102" s="87"/>
    </row>
    <row r="103" spans="2:12" ht="16.5">
      <c r="B103" s="95" t="s">
        <v>84</v>
      </c>
      <c r="C103" s="90" t="s">
        <v>131</v>
      </c>
      <c r="D103" s="89"/>
      <c r="E103" s="128">
        <f>+591750+3726</f>
        <v>595476</v>
      </c>
      <c r="F103" s="63">
        <v>200000</v>
      </c>
      <c r="G103" s="63"/>
      <c r="K103" s="87"/>
      <c r="L103" s="87"/>
    </row>
    <row r="104" spans="2:12" ht="16.5">
      <c r="B104" s="95" t="s">
        <v>85</v>
      </c>
      <c r="C104" s="90" t="s">
        <v>132</v>
      </c>
      <c r="D104" s="89"/>
      <c r="E104" s="128">
        <f>+4937094.71-3726</f>
        <v>4933368.71</v>
      </c>
      <c r="F104" s="63">
        <v>4000000</v>
      </c>
      <c r="G104" s="63"/>
      <c r="K104" s="87"/>
      <c r="L104" s="87"/>
    </row>
    <row r="105" spans="2:12" ht="16.5">
      <c r="B105" s="95" t="s">
        <v>86</v>
      </c>
      <c r="C105" s="90" t="s">
        <v>133</v>
      </c>
      <c r="D105" s="89"/>
      <c r="E105" s="128">
        <v>268119.24</v>
      </c>
      <c r="F105" s="63">
        <v>300000</v>
      </c>
      <c r="G105" s="63"/>
      <c r="K105" s="87"/>
      <c r="L105" s="87"/>
    </row>
    <row r="106" spans="2:12" ht="16.5">
      <c r="B106" s="95" t="s">
        <v>178</v>
      </c>
      <c r="C106" s="90" t="s">
        <v>176</v>
      </c>
      <c r="D106" s="89"/>
      <c r="E106" s="128">
        <v>14300</v>
      </c>
      <c r="F106" s="63">
        <v>50000</v>
      </c>
      <c r="G106" s="63"/>
      <c r="K106" s="87"/>
      <c r="L106" s="87"/>
    </row>
    <row r="107" spans="2:12" ht="16.5">
      <c r="B107" s="95" t="s">
        <v>177</v>
      </c>
      <c r="C107" s="90" t="s">
        <v>179</v>
      </c>
      <c r="D107" s="89"/>
      <c r="E107" s="128">
        <v>100000</v>
      </c>
      <c r="F107" s="63"/>
      <c r="G107" s="63"/>
      <c r="K107" s="87"/>
      <c r="L107" s="87"/>
    </row>
    <row r="108" spans="2:12" ht="16.5">
      <c r="B108" s="95" t="s">
        <v>193</v>
      </c>
      <c r="C108" s="90" t="s">
        <v>194</v>
      </c>
      <c r="D108" s="89"/>
      <c r="E108" s="128">
        <v>208834</v>
      </c>
      <c r="F108" s="63">
        <v>25000</v>
      </c>
      <c r="G108" s="63"/>
      <c r="K108" s="87"/>
      <c r="L108" s="87"/>
    </row>
    <row r="109" spans="2:12" ht="16.5">
      <c r="B109" s="95" t="s">
        <v>163</v>
      </c>
      <c r="C109" s="90">
        <v>648</v>
      </c>
      <c r="D109" s="89"/>
      <c r="E109" s="128"/>
      <c r="F109" s="63"/>
      <c r="G109" s="63"/>
      <c r="H109" s="93"/>
      <c r="K109" s="87"/>
      <c r="L109" s="87"/>
    </row>
    <row r="110" spans="1:12" ht="16.5">
      <c r="A110" s="87">
        <v>0</v>
      </c>
      <c r="B110" s="95" t="s">
        <v>190</v>
      </c>
      <c r="C110" s="90" t="s">
        <v>191</v>
      </c>
      <c r="D110" s="89"/>
      <c r="E110" s="128"/>
      <c r="F110" s="63"/>
      <c r="G110" s="63"/>
      <c r="K110" s="87"/>
      <c r="L110" s="87"/>
    </row>
    <row r="111" spans="2:12" ht="16.5">
      <c r="B111" s="95" t="s">
        <v>166</v>
      </c>
      <c r="C111" s="90" t="s">
        <v>167</v>
      </c>
      <c r="D111" s="89"/>
      <c r="E111" s="128">
        <f>+1618883+3986.75</f>
        <v>1622869.75</v>
      </c>
      <c r="F111" s="63">
        <v>4000000</v>
      </c>
      <c r="G111" s="63"/>
      <c r="K111" s="87"/>
      <c r="L111" s="87"/>
    </row>
    <row r="112" spans="2:12" ht="16.5">
      <c r="B112" s="95" t="s">
        <v>183</v>
      </c>
      <c r="C112" s="90" t="s">
        <v>184</v>
      </c>
      <c r="D112" s="89"/>
      <c r="E112" s="128"/>
      <c r="F112" s="63"/>
      <c r="G112" s="63"/>
      <c r="K112" s="87"/>
      <c r="L112" s="87"/>
    </row>
    <row r="113" spans="2:12" ht="16.5">
      <c r="B113" s="95" t="s">
        <v>168</v>
      </c>
      <c r="C113" s="90" t="s">
        <v>169</v>
      </c>
      <c r="D113" s="89"/>
      <c r="E113" s="128">
        <f>+2019343.18-3986.75</f>
        <v>2015356.43</v>
      </c>
      <c r="F113" s="63">
        <v>2000000</v>
      </c>
      <c r="G113" s="63"/>
      <c r="K113" s="87"/>
      <c r="L113" s="87"/>
    </row>
    <row r="114" spans="2:12" ht="16.5">
      <c r="B114" s="95" t="s">
        <v>181</v>
      </c>
      <c r="C114" s="90" t="s">
        <v>182</v>
      </c>
      <c r="D114" s="89"/>
      <c r="E114" s="128">
        <v>314.4</v>
      </c>
      <c r="F114" s="63"/>
      <c r="G114" s="63"/>
      <c r="K114" s="87"/>
      <c r="L114" s="87"/>
    </row>
    <row r="115" spans="2:12" ht="16.5">
      <c r="B115" s="95" t="s">
        <v>209</v>
      </c>
      <c r="C115" s="90" t="s">
        <v>192</v>
      </c>
      <c r="D115" s="89"/>
      <c r="E115" s="128">
        <v>30945</v>
      </c>
      <c r="F115" s="63">
        <v>50000</v>
      </c>
      <c r="G115" s="63"/>
      <c r="K115" s="87"/>
      <c r="L115" s="87"/>
    </row>
    <row r="116" spans="2:12" ht="16.5">
      <c r="B116" s="95" t="s">
        <v>210</v>
      </c>
      <c r="C116" s="90" t="s">
        <v>170</v>
      </c>
      <c r="D116" s="89"/>
      <c r="E116" s="128"/>
      <c r="F116" s="63"/>
      <c r="G116" s="63"/>
      <c r="K116" s="87"/>
      <c r="L116" s="87"/>
    </row>
    <row r="117" spans="2:7" ht="16.5">
      <c r="B117" s="95" t="s">
        <v>211</v>
      </c>
      <c r="C117" s="90" t="s">
        <v>171</v>
      </c>
      <c r="D117" s="89"/>
      <c r="E117" s="128">
        <v>55494024.16</v>
      </c>
      <c r="F117" s="63"/>
      <c r="G117" s="63"/>
    </row>
    <row r="118" spans="2:7" ht="16.5">
      <c r="B118" s="95" t="s">
        <v>212</v>
      </c>
      <c r="C118" s="90" t="s">
        <v>172</v>
      </c>
      <c r="D118" s="89"/>
      <c r="E118" s="128">
        <v>2581451.05</v>
      </c>
      <c r="F118" s="63">
        <v>13000000</v>
      </c>
      <c r="G118" s="63"/>
    </row>
    <row r="119" spans="2:7" ht="16.5">
      <c r="B119" s="95" t="s">
        <v>213</v>
      </c>
      <c r="C119" s="90" t="s">
        <v>173</v>
      </c>
      <c r="D119" s="89"/>
      <c r="E119" s="128"/>
      <c r="F119" s="63"/>
      <c r="G119" s="63"/>
    </row>
    <row r="120" spans="2:7" ht="16.5">
      <c r="B120" s="95" t="s">
        <v>214</v>
      </c>
      <c r="C120" s="90" t="s">
        <v>174</v>
      </c>
      <c r="D120" s="89"/>
      <c r="E120" s="128">
        <v>499748.47</v>
      </c>
      <c r="F120" s="63">
        <v>200000</v>
      </c>
      <c r="G120" s="63"/>
    </row>
    <row r="121" spans="2:7" ht="16.5">
      <c r="B121" s="95" t="s">
        <v>215</v>
      </c>
      <c r="C121" s="90" t="s">
        <v>175</v>
      </c>
      <c r="D121" s="89"/>
      <c r="E121" s="128">
        <v>14100502</v>
      </c>
      <c r="F121" s="63"/>
      <c r="G121" s="63"/>
    </row>
    <row r="122" spans="2:7" ht="16.5">
      <c r="B122" s="95" t="s">
        <v>195</v>
      </c>
      <c r="C122" s="90">
        <v>649</v>
      </c>
      <c r="D122" s="89"/>
      <c r="E122" s="128">
        <v>2547086.96</v>
      </c>
      <c r="F122" s="63">
        <v>2000000</v>
      </c>
      <c r="G122" s="63"/>
    </row>
    <row r="123" spans="2:7" ht="16.5">
      <c r="B123" s="95" t="s">
        <v>11</v>
      </c>
      <c r="C123" s="90">
        <v>662</v>
      </c>
      <c r="D123" s="89"/>
      <c r="E123" s="128"/>
      <c r="F123" s="63"/>
      <c r="G123" s="63"/>
    </row>
    <row r="124" spans="2:7" ht="16.5">
      <c r="B124" s="95" t="s">
        <v>12</v>
      </c>
      <c r="C124" s="90">
        <v>664</v>
      </c>
      <c r="D124" s="89"/>
      <c r="E124" s="128">
        <v>327388.18</v>
      </c>
      <c r="F124" s="63">
        <v>250000</v>
      </c>
      <c r="G124" s="63"/>
    </row>
    <row r="125" spans="2:7" ht="16.5">
      <c r="B125" s="95" t="s">
        <v>13</v>
      </c>
      <c r="C125" s="90">
        <v>665</v>
      </c>
      <c r="D125" s="89"/>
      <c r="E125" s="128">
        <v>1290617660</v>
      </c>
      <c r="F125" s="63">
        <v>1408634000</v>
      </c>
      <c r="G125" s="63"/>
    </row>
    <row r="126" spans="2:7" ht="16.5">
      <c r="B126" s="95" t="s">
        <v>14</v>
      </c>
      <c r="C126" s="90">
        <v>670</v>
      </c>
      <c r="D126" s="89"/>
      <c r="E126" s="128">
        <v>1239718.48</v>
      </c>
      <c r="F126" s="63">
        <v>2000000</v>
      </c>
      <c r="G126" s="63"/>
    </row>
    <row r="127" spans="2:7" ht="16.5">
      <c r="B127" s="95" t="s">
        <v>216</v>
      </c>
      <c r="C127" s="90">
        <v>672</v>
      </c>
      <c r="D127" s="89"/>
      <c r="E127" s="128">
        <v>749423.26</v>
      </c>
      <c r="F127" s="63">
        <v>800000</v>
      </c>
      <c r="G127" s="63"/>
    </row>
    <row r="128" spans="2:7" ht="16.5">
      <c r="B128" s="95" t="s">
        <v>164</v>
      </c>
      <c r="C128" s="90">
        <v>678</v>
      </c>
      <c r="D128" s="89"/>
      <c r="E128" s="128">
        <v>125069079.86</v>
      </c>
      <c r="F128" s="63"/>
      <c r="G128" s="63"/>
    </row>
    <row r="129" spans="2:7" ht="16.5">
      <c r="B129" s="95" t="s">
        <v>354</v>
      </c>
      <c r="C129" s="90" t="s">
        <v>355</v>
      </c>
      <c r="D129" s="89"/>
      <c r="E129" s="128"/>
      <c r="F129" s="63"/>
      <c r="G129" s="63"/>
    </row>
    <row r="130" spans="2:7" ht="16.5">
      <c r="B130" s="95" t="s">
        <v>359</v>
      </c>
      <c r="C130" s="90" t="s">
        <v>356</v>
      </c>
      <c r="D130" s="89"/>
      <c r="E130" s="128"/>
      <c r="F130" s="128"/>
      <c r="G130" s="63"/>
    </row>
    <row r="131" spans="2:7" ht="16.5">
      <c r="B131" s="95" t="s">
        <v>360</v>
      </c>
      <c r="C131" s="90" t="s">
        <v>357</v>
      </c>
      <c r="D131" s="89"/>
      <c r="E131" s="128"/>
      <c r="F131" s="128"/>
      <c r="G131" s="63"/>
    </row>
    <row r="132" spans="2:7" ht="16.5">
      <c r="B132" s="95" t="s">
        <v>361</v>
      </c>
      <c r="C132" s="90" t="s">
        <v>358</v>
      </c>
      <c r="D132" s="89"/>
      <c r="E132" s="128"/>
      <c r="F132" s="128"/>
      <c r="G132" s="63"/>
    </row>
    <row r="133" spans="2:7" ht="16.5">
      <c r="B133" s="95" t="s">
        <v>186</v>
      </c>
      <c r="C133" s="90"/>
      <c r="D133" s="89"/>
      <c r="E133" s="89"/>
      <c r="F133" s="128"/>
      <c r="G133" s="60"/>
    </row>
    <row r="134" spans="2:7" ht="17.2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1778134000</v>
      </c>
      <c r="G134" s="134">
        <f>SUM(G14:G133)</f>
        <v>0</v>
      </c>
    </row>
    <row r="135" spans="2:7" ht="17.25" thickTop="1">
      <c r="B135" s="92"/>
      <c r="C135" s="90"/>
      <c r="D135" s="89"/>
      <c r="E135" s="99"/>
      <c r="F135" s="100"/>
      <c r="G135" s="135"/>
    </row>
    <row r="136" spans="2:7" ht="17.25" thickBot="1">
      <c r="B136" s="95"/>
      <c r="C136" s="90"/>
      <c r="D136" s="89"/>
      <c r="E136" s="62"/>
      <c r="F136" s="55"/>
      <c r="G136" s="63"/>
    </row>
    <row r="137" spans="1:10" s="101" customFormat="1" ht="15.75" hidden="1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 hidden="1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 hidden="1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 hidden="1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 hidden="1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 hidden="1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 hidden="1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 hidden="1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 hidden="1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 hidden="1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 hidden="1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 hidden="1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 hidden="1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 hidden="1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 hidden="1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 hidden="1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 hidden="1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 hidden="1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 hidden="1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 hidden="1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 hidden="1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 hidden="1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 hidden="1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 hidden="1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 hidden="1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 hidden="1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 hidden="1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 hidden="1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 hidden="1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 hidden="1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 hidden="1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 hidden="1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 hidden="1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 hidden="1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 hidden="1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 hidden="1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 hidden="1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 hidden="1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 hidden="1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 hidden="1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 hidden="1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 hidden="1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 hidden="1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 hidden="1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 hidden="1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 hidden="1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 hidden="1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 hidden="1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 hidden="1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 hidden="1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 hidden="1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 hidden="1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 hidden="1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 hidden="1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 hidden="1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 hidden="1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 hidden="1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 hidden="1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 hidden="1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 hidden="1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 hidden="1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 hidden="1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 hidden="1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 hidden="1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 hidden="1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 hidden="1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 hidden="1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 hidden="1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 hidden="1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 hidden="1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 hidden="1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 hidden="1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 hidden="1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 hidden="1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 hidden="1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 hidden="1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 hidden="1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 hidden="1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 hidden="1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 hidden="1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 hidden="1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 hidden="1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 hidden="1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 hidden="1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 hidden="1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 hidden="1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 hidden="1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 hidden="1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 hidden="1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 hidden="1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 hidden="1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 hidden="1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 hidden="1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 hidden="1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 hidden="1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 hidden="1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 hidden="1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 hidden="1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 hidden="1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 hidden="1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 hidden="1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 hidden="1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 hidden="1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 hidden="1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 hidden="1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 hidden="1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 hidden="1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 hidden="1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 hidden="1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 hidden="1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 hidden="1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 hidden="1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 hidden="1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 hidden="1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 hidden="1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 hidden="1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 hidden="1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 hidden="1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 hidden="1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 hidden="1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 hidden="1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 hidden="1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 hidden="1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 hidden="1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 hidden="1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 hidden="1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hidden="1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6.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6.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6.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6.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6.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6.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6.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6.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6.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6.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6.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6.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6.5">
      <c r="B284" s="57"/>
      <c r="C284" s="105"/>
      <c r="D284" s="81"/>
      <c r="E284" s="81"/>
      <c r="F284" s="80"/>
      <c r="G284" s="57"/>
    </row>
    <row r="285" spans="2:7" ht="16.5">
      <c r="B285" s="57"/>
      <c r="C285" s="105"/>
      <c r="D285" s="81"/>
      <c r="E285" s="81"/>
      <c r="F285" s="80"/>
      <c r="G285" s="57"/>
    </row>
    <row r="286" spans="2:7" ht="16.5">
      <c r="B286" s="57"/>
      <c r="C286" s="105"/>
      <c r="D286" s="81"/>
      <c r="E286" s="81"/>
      <c r="F286" s="80"/>
      <c r="G286" s="57"/>
    </row>
    <row r="287" spans="2:7" ht="16.5">
      <c r="B287" s="57"/>
      <c r="C287" s="105"/>
      <c r="D287" s="81"/>
      <c r="E287" s="81"/>
      <c r="F287" s="80"/>
      <c r="G287" s="57"/>
    </row>
    <row r="288" spans="2:7" ht="16.5">
      <c r="B288" s="57"/>
      <c r="C288" s="105"/>
      <c r="D288" s="81"/>
      <c r="E288" s="81"/>
      <c r="F288" s="80"/>
      <c r="G288" s="57"/>
    </row>
    <row r="289" spans="2:7" ht="16.5">
      <c r="B289" s="57"/>
      <c r="C289" s="105"/>
      <c r="D289" s="81"/>
      <c r="E289" s="81"/>
      <c r="F289" s="80"/>
      <c r="G289" s="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85"/>
      <c r="C304" s="118"/>
      <c r="D304" s="83"/>
      <c r="E304" s="83"/>
      <c r="F304" s="84"/>
      <c r="G304" s="85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6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5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18.21484375" style="87" customWidth="1"/>
    <col min="9" max="10" width="8.88671875" style="87" customWidth="1"/>
  </cols>
  <sheetData>
    <row r="1" spans="1:13" s="56" customFormat="1" ht="15.75">
      <c r="A1" s="87"/>
      <c r="B1" s="154"/>
      <c r="C1" s="154"/>
      <c r="D1" s="154"/>
      <c r="E1" s="154"/>
      <c r="F1" s="154"/>
      <c r="G1" s="154"/>
      <c r="H1" s="87"/>
      <c r="I1" s="87"/>
      <c r="J1" s="87"/>
      <c r="K1" s="87"/>
      <c r="L1" s="87"/>
      <c r="M1" s="87"/>
    </row>
    <row r="2" spans="1:13" s="56" customFormat="1" ht="15">
      <c r="A2" s="87"/>
      <c r="B2" s="478" t="s">
        <v>196</v>
      </c>
      <c r="C2" s="478"/>
      <c r="D2" s="478"/>
      <c r="E2" s="478"/>
      <c r="F2" s="478"/>
      <c r="G2" s="478"/>
      <c r="H2" s="87"/>
      <c r="I2" s="87"/>
      <c r="J2" s="87"/>
      <c r="K2" s="87"/>
      <c r="L2" s="87"/>
      <c r="M2" s="87"/>
    </row>
    <row r="3" spans="1:13" s="56" customFormat="1" ht="15">
      <c r="A3" s="87"/>
      <c r="B3" s="479" t="s">
        <v>197</v>
      </c>
      <c r="C3" s="479"/>
      <c r="D3" s="479"/>
      <c r="E3" s="479"/>
      <c r="F3" s="479"/>
      <c r="G3" s="479"/>
      <c r="H3" s="87"/>
      <c r="I3" s="87"/>
      <c r="J3" s="87"/>
      <c r="K3" s="87"/>
      <c r="L3" s="87"/>
      <c r="M3" s="87"/>
    </row>
    <row r="4" spans="1:12" s="56" customFormat="1" ht="15">
      <c r="A4" s="87"/>
      <c r="B4" s="479" t="s">
        <v>198</v>
      </c>
      <c r="C4" s="479"/>
      <c r="D4" s="479"/>
      <c r="E4" s="479"/>
      <c r="F4" s="479"/>
      <c r="G4" s="479"/>
      <c r="H4" s="87"/>
      <c r="I4" s="87"/>
      <c r="J4" s="87"/>
      <c r="K4" s="87"/>
      <c r="L4" s="87"/>
    </row>
    <row r="5" spans="1:12" s="56" customFormat="1" ht="15.75">
      <c r="A5" s="87"/>
      <c r="B5" s="157"/>
      <c r="C5" s="158"/>
      <c r="D5" s="157"/>
      <c r="E5" s="157"/>
      <c r="F5" s="157"/>
      <c r="G5" s="157"/>
      <c r="H5" s="87"/>
      <c r="I5" s="87"/>
      <c r="J5" s="87"/>
      <c r="K5" s="87"/>
      <c r="L5" s="87"/>
    </row>
    <row r="6" spans="1:12" s="56" customFormat="1" ht="16.5" thickBot="1">
      <c r="A6" s="87"/>
      <c r="B6" s="157"/>
      <c r="C6" s="158"/>
      <c r="D6" s="157"/>
      <c r="E6" s="157"/>
      <c r="F6" s="157"/>
      <c r="G6" s="157"/>
      <c r="H6" s="87"/>
      <c r="I6" s="87"/>
      <c r="J6" s="87"/>
      <c r="K6" s="87"/>
      <c r="L6" s="87"/>
    </row>
    <row r="7" spans="1:12" s="56" customFormat="1" ht="15.75">
      <c r="A7" s="87"/>
      <c r="B7" s="159"/>
      <c r="C7" s="160"/>
      <c r="D7" s="161"/>
      <c r="E7" s="162" t="s">
        <v>18</v>
      </c>
      <c r="F7" s="480" t="s">
        <v>344</v>
      </c>
      <c r="G7" s="481"/>
      <c r="H7" s="87"/>
      <c r="I7" s="87"/>
      <c r="J7" s="87"/>
      <c r="K7" s="87"/>
      <c r="L7" s="87"/>
    </row>
    <row r="8" spans="1:12" s="56" customFormat="1" ht="15.7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  <c r="I8" s="87"/>
      <c r="J8" s="87"/>
      <c r="K8" s="87"/>
      <c r="L8" s="87"/>
    </row>
    <row r="9" spans="1:12" s="56" customFormat="1" ht="15.75">
      <c r="A9" s="87"/>
      <c r="B9" s="168" t="s">
        <v>15</v>
      </c>
      <c r="C9" s="164" t="s">
        <v>17</v>
      </c>
      <c r="D9" s="158"/>
      <c r="E9" s="165" t="s">
        <v>155</v>
      </c>
      <c r="F9" s="164" t="s">
        <v>374</v>
      </c>
      <c r="G9" s="169" t="s">
        <v>138</v>
      </c>
      <c r="H9" s="87"/>
      <c r="I9" s="87"/>
      <c r="J9" s="87"/>
      <c r="K9" s="87"/>
      <c r="L9" s="87"/>
    </row>
    <row r="10" spans="1:12" s="56" customFormat="1" ht="15.75">
      <c r="A10" s="87"/>
      <c r="B10" s="170"/>
      <c r="C10" s="171"/>
      <c r="D10" s="172"/>
      <c r="E10" s="173">
        <v>2012</v>
      </c>
      <c r="F10" s="171" t="s">
        <v>155</v>
      </c>
      <c r="G10" s="174" t="s">
        <v>185</v>
      </c>
      <c r="H10" s="87"/>
      <c r="I10" s="87"/>
      <c r="J10" s="87"/>
      <c r="K10" s="87"/>
      <c r="L10" s="87"/>
    </row>
    <row r="11" spans="1:12" s="56" customFormat="1" ht="15.75">
      <c r="A11" s="87"/>
      <c r="B11" s="175"/>
      <c r="C11" s="166"/>
      <c r="D11" s="176"/>
      <c r="E11" s="177"/>
      <c r="F11" s="178"/>
      <c r="G11" s="179"/>
      <c r="H11" s="87"/>
      <c r="I11" s="87"/>
      <c r="J11" s="87"/>
      <c r="K11" s="87"/>
      <c r="L11" s="87"/>
    </row>
    <row r="12" spans="1:12" s="56" customFormat="1" ht="15.75">
      <c r="A12" s="87"/>
      <c r="B12" s="180" t="s">
        <v>26</v>
      </c>
      <c r="C12" s="181"/>
      <c r="D12" s="182"/>
      <c r="E12" s="183"/>
      <c r="F12" s="184"/>
      <c r="G12" s="185"/>
      <c r="H12" s="87"/>
      <c r="I12" s="87"/>
      <c r="J12" s="87"/>
      <c r="K12" s="87"/>
      <c r="L12" s="87"/>
    </row>
    <row r="13" spans="1:12" s="56" customFormat="1" ht="15.75">
      <c r="A13" s="87"/>
      <c r="B13" s="186"/>
      <c r="C13" s="181"/>
      <c r="D13" s="182"/>
      <c r="E13" s="183"/>
      <c r="F13" s="184"/>
      <c r="G13" s="185"/>
      <c r="H13" s="87"/>
      <c r="I13" s="87"/>
      <c r="J13" s="87"/>
      <c r="K13" s="87"/>
      <c r="L13" s="87"/>
    </row>
    <row r="14" spans="2:12" ht="15.75">
      <c r="B14" s="186" t="s">
        <v>27</v>
      </c>
      <c r="C14" s="181">
        <v>127</v>
      </c>
      <c r="D14" s="182"/>
      <c r="E14" s="184">
        <v>54985649.97</v>
      </c>
      <c r="F14" s="184">
        <v>54793717.53</v>
      </c>
      <c r="G14" s="187">
        <v>100000000</v>
      </c>
      <c r="K14" s="87"/>
      <c r="L14" s="87"/>
    </row>
    <row r="15" spans="2:12" ht="15.75">
      <c r="B15" s="186" t="s">
        <v>28</v>
      </c>
      <c r="C15" s="181">
        <v>588</v>
      </c>
      <c r="D15" s="182"/>
      <c r="E15" s="184">
        <v>53228473.42</v>
      </c>
      <c r="F15" s="184">
        <v>49452217.03</v>
      </c>
      <c r="G15" s="187">
        <v>50000000</v>
      </c>
      <c r="K15" s="87"/>
      <c r="L15" s="87"/>
    </row>
    <row r="16" spans="2:12" ht="15.75">
      <c r="B16" s="186" t="s">
        <v>29</v>
      </c>
      <c r="C16" s="181">
        <v>954</v>
      </c>
      <c r="D16" s="182"/>
      <c r="E16" s="184">
        <v>-664189.41</v>
      </c>
      <c r="F16" s="184">
        <v>-486694.41</v>
      </c>
      <c r="G16" s="187">
        <v>-5000000</v>
      </c>
      <c r="K16" s="87"/>
      <c r="L16" s="87"/>
    </row>
    <row r="17" spans="2:12" ht="15.75">
      <c r="B17" s="186" t="s">
        <v>30</v>
      </c>
      <c r="C17" s="181">
        <v>599</v>
      </c>
      <c r="D17" s="182"/>
      <c r="E17" s="184">
        <v>6235344.7</v>
      </c>
      <c r="F17" s="184">
        <v>3650338.81</v>
      </c>
      <c r="G17" s="187">
        <v>10000000</v>
      </c>
      <c r="K17" s="87"/>
      <c r="L17" s="87"/>
    </row>
    <row r="18" spans="1:12" s="56" customFormat="1" ht="15.75">
      <c r="A18" s="87"/>
      <c r="B18" s="186"/>
      <c r="C18" s="181"/>
      <c r="D18" s="182"/>
      <c r="E18" s="182"/>
      <c r="F18" s="184"/>
      <c r="G18" s="185"/>
      <c r="H18" s="87"/>
      <c r="I18" s="87"/>
      <c r="J18" s="87"/>
      <c r="K18" s="87"/>
      <c r="L18" s="87"/>
    </row>
    <row r="19" spans="1:12" s="56" customFormat="1" ht="15.75">
      <c r="A19" s="87"/>
      <c r="B19" s="180" t="s">
        <v>31</v>
      </c>
      <c r="C19" s="181"/>
      <c r="D19" s="182"/>
      <c r="E19" s="182"/>
      <c r="F19" s="184"/>
      <c r="G19" s="185"/>
      <c r="H19" s="87"/>
      <c r="I19" s="87"/>
      <c r="J19" s="87"/>
      <c r="K19" s="87"/>
      <c r="L19" s="87"/>
    </row>
    <row r="20" spans="1:12" s="56" customFormat="1" ht="15.75">
      <c r="A20" s="87"/>
      <c r="B20" s="186"/>
      <c r="C20" s="181"/>
      <c r="D20" s="182"/>
      <c r="E20" s="182"/>
      <c r="F20" s="184"/>
      <c r="G20" s="185"/>
      <c r="H20" s="87"/>
      <c r="I20" s="87"/>
      <c r="J20" s="87"/>
      <c r="K20" s="87"/>
      <c r="L20" s="87"/>
    </row>
    <row r="21" spans="2:12" ht="15.75">
      <c r="B21" s="186" t="s">
        <v>32</v>
      </c>
      <c r="C21" s="181">
        <v>564</v>
      </c>
      <c r="D21" s="182"/>
      <c r="E21" s="184">
        <v>174415</v>
      </c>
      <c r="F21" s="184">
        <v>168820</v>
      </c>
      <c r="G21" s="187">
        <v>200000</v>
      </c>
      <c r="K21" s="87"/>
      <c r="L21" s="87"/>
    </row>
    <row r="22" spans="2:12" ht="15.75">
      <c r="B22" s="186" t="s">
        <v>33</v>
      </c>
      <c r="C22" s="181">
        <v>581</v>
      </c>
      <c r="D22" s="182"/>
      <c r="E22" s="184"/>
      <c r="F22" s="184"/>
      <c r="G22" s="187">
        <v>3000000</v>
      </c>
      <c r="K22" s="87"/>
      <c r="L22" s="87"/>
    </row>
    <row r="23" spans="2:12" ht="15.75">
      <c r="B23" s="186" t="s">
        <v>34</v>
      </c>
      <c r="C23" s="181" t="s">
        <v>90</v>
      </c>
      <c r="D23" s="182"/>
      <c r="E23" s="184">
        <v>2856002.37</v>
      </c>
      <c r="F23" s="184">
        <v>5869588.66</v>
      </c>
      <c r="G23" s="187"/>
      <c r="K23" s="87"/>
      <c r="L23" s="87"/>
    </row>
    <row r="24" spans="2:12" ht="15.75">
      <c r="B24" s="186" t="s">
        <v>139</v>
      </c>
      <c r="C24" s="181" t="s">
        <v>91</v>
      </c>
      <c r="D24" s="182"/>
      <c r="E24" s="184">
        <v>943905.37</v>
      </c>
      <c r="F24" s="184">
        <v>1249833.95</v>
      </c>
      <c r="G24" s="187"/>
      <c r="K24" s="87"/>
      <c r="L24" s="87"/>
    </row>
    <row r="25" spans="2:12" ht="15.75">
      <c r="B25" s="186" t="s">
        <v>345</v>
      </c>
      <c r="C25" s="181" t="s">
        <v>91</v>
      </c>
      <c r="D25" s="182"/>
      <c r="E25" s="184">
        <v>110606.77</v>
      </c>
      <c r="F25" s="184"/>
      <c r="G25" s="187"/>
      <c r="K25" s="87"/>
      <c r="L25" s="87"/>
    </row>
    <row r="26" spans="2:12" ht="15.75">
      <c r="B26" s="186" t="s">
        <v>140</v>
      </c>
      <c r="C26" s="181" t="s">
        <v>92</v>
      </c>
      <c r="D26" s="182"/>
      <c r="E26" s="184">
        <v>24080.4</v>
      </c>
      <c r="F26" s="184">
        <v>6400</v>
      </c>
      <c r="G26" s="187"/>
      <c r="K26" s="87"/>
      <c r="L26" s="87"/>
    </row>
    <row r="27" spans="2:12" ht="15.75">
      <c r="B27" s="186" t="s">
        <v>35</v>
      </c>
      <c r="C27" s="181">
        <v>582</v>
      </c>
      <c r="D27" s="182"/>
      <c r="E27" s="184"/>
      <c r="F27" s="184"/>
      <c r="G27" s="187">
        <v>85000000</v>
      </c>
      <c r="K27" s="87"/>
      <c r="L27" s="87"/>
    </row>
    <row r="28" spans="2:12" ht="15.75">
      <c r="B28" s="188" t="s">
        <v>36</v>
      </c>
      <c r="C28" s="181" t="s">
        <v>93</v>
      </c>
      <c r="D28" s="182"/>
      <c r="E28" s="184">
        <v>14061927.55</v>
      </c>
      <c r="F28" s="184">
        <v>12225447.57</v>
      </c>
      <c r="G28" s="187"/>
      <c r="K28" s="87"/>
      <c r="L28" s="87"/>
    </row>
    <row r="29" spans="2:12" ht="15.75">
      <c r="B29" s="188" t="s">
        <v>346</v>
      </c>
      <c r="C29" s="181" t="s">
        <v>93</v>
      </c>
      <c r="D29" s="182"/>
      <c r="E29" s="184">
        <v>5435.28</v>
      </c>
      <c r="F29" s="184"/>
      <c r="G29" s="187"/>
      <c r="K29" s="87"/>
      <c r="L29" s="87"/>
    </row>
    <row r="30" spans="2:12" ht="15.75">
      <c r="B30" s="188" t="s">
        <v>37</v>
      </c>
      <c r="C30" s="181" t="s">
        <v>94</v>
      </c>
      <c r="D30" s="182"/>
      <c r="E30" s="184">
        <v>13340072.39</v>
      </c>
      <c r="F30" s="184">
        <v>14950031.86</v>
      </c>
      <c r="G30" s="187"/>
      <c r="K30" s="87"/>
      <c r="L30" s="87"/>
    </row>
    <row r="31" spans="2:12" ht="15.75">
      <c r="B31" s="188" t="s">
        <v>347</v>
      </c>
      <c r="C31" s="181" t="s">
        <v>94</v>
      </c>
      <c r="D31" s="182"/>
      <c r="E31" s="184">
        <v>7322.3</v>
      </c>
      <c r="F31" s="184"/>
      <c r="G31" s="187"/>
      <c r="K31" s="87"/>
      <c r="L31" s="87"/>
    </row>
    <row r="32" spans="2:12" ht="15.75">
      <c r="B32" s="188" t="s">
        <v>38</v>
      </c>
      <c r="C32" s="181" t="s">
        <v>95</v>
      </c>
      <c r="D32" s="182"/>
      <c r="E32" s="184">
        <v>7177048.81</v>
      </c>
      <c r="F32" s="184">
        <v>6420147.54</v>
      </c>
      <c r="G32" s="187"/>
      <c r="K32" s="87"/>
      <c r="L32" s="87"/>
    </row>
    <row r="33" spans="2:12" ht="15.75">
      <c r="B33" s="188" t="s">
        <v>348</v>
      </c>
      <c r="C33" s="181" t="s">
        <v>95</v>
      </c>
      <c r="D33" s="182"/>
      <c r="E33" s="184">
        <v>22267.87</v>
      </c>
      <c r="F33" s="184">
        <v>990</v>
      </c>
      <c r="G33" s="187"/>
      <c r="K33" s="87"/>
      <c r="L33" s="87"/>
    </row>
    <row r="34" spans="2:12" ht="15.75">
      <c r="B34" s="188" t="s">
        <v>39</v>
      </c>
      <c r="C34" s="181" t="s">
        <v>96</v>
      </c>
      <c r="D34" s="182"/>
      <c r="E34" s="184">
        <v>10368593.75</v>
      </c>
      <c r="F34" s="184">
        <v>10766255.47</v>
      </c>
      <c r="G34" s="187"/>
      <c r="K34" s="87"/>
      <c r="L34" s="87"/>
    </row>
    <row r="35" spans="2:12" ht="15.75">
      <c r="B35" s="188" t="s">
        <v>40</v>
      </c>
      <c r="C35" s="181" t="s">
        <v>97</v>
      </c>
      <c r="D35" s="182"/>
      <c r="E35" s="184">
        <v>1102139.85</v>
      </c>
      <c r="F35" s="184">
        <v>1376424.92</v>
      </c>
      <c r="G35" s="187"/>
      <c r="K35" s="87"/>
      <c r="L35" s="87"/>
    </row>
    <row r="36" spans="2:12" ht="15.75">
      <c r="B36" s="188" t="s">
        <v>41</v>
      </c>
      <c r="C36" s="181" t="s">
        <v>98</v>
      </c>
      <c r="D36" s="182"/>
      <c r="E36" s="184">
        <v>8325602.37</v>
      </c>
      <c r="F36" s="184">
        <v>7000379</v>
      </c>
      <c r="G36" s="187"/>
      <c r="K36" s="87"/>
      <c r="L36" s="87"/>
    </row>
    <row r="37" spans="2:12" ht="15.75">
      <c r="B37" s="188" t="s">
        <v>42</v>
      </c>
      <c r="C37" s="181" t="s">
        <v>99</v>
      </c>
      <c r="D37" s="182"/>
      <c r="E37" s="184">
        <v>12548484.09</v>
      </c>
      <c r="F37" s="184">
        <v>14893769.97</v>
      </c>
      <c r="G37" s="187"/>
      <c r="K37" s="87"/>
      <c r="L37" s="87"/>
    </row>
    <row r="38" spans="2:12" ht="15.75">
      <c r="B38" s="188" t="s">
        <v>43</v>
      </c>
      <c r="C38" s="181" t="s">
        <v>100</v>
      </c>
      <c r="D38" s="182"/>
      <c r="E38" s="184">
        <v>2890239.99</v>
      </c>
      <c r="F38" s="184">
        <v>1181047.45</v>
      </c>
      <c r="G38" s="187"/>
      <c r="K38" s="87"/>
      <c r="L38" s="87"/>
    </row>
    <row r="39" spans="2:12" ht="15.75">
      <c r="B39" s="188" t="s">
        <v>349</v>
      </c>
      <c r="C39" s="181" t="s">
        <v>100</v>
      </c>
      <c r="D39" s="182"/>
      <c r="E39" s="184">
        <v>19726.49</v>
      </c>
      <c r="F39" s="184"/>
      <c r="G39" s="187"/>
      <c r="K39" s="87"/>
      <c r="L39" s="87"/>
    </row>
    <row r="40" spans="2:12" ht="15.75">
      <c r="B40" s="188" t="s">
        <v>44</v>
      </c>
      <c r="C40" s="181" t="s">
        <v>101</v>
      </c>
      <c r="D40" s="182"/>
      <c r="E40" s="184">
        <v>3115458.68</v>
      </c>
      <c r="F40" s="184">
        <v>3469150.83</v>
      </c>
      <c r="G40" s="187"/>
      <c r="K40" s="87"/>
      <c r="L40" s="87"/>
    </row>
    <row r="41" spans="2:12" ht="15.75">
      <c r="B41" s="188" t="s">
        <v>45</v>
      </c>
      <c r="C41" s="181" t="s">
        <v>102</v>
      </c>
      <c r="D41" s="182"/>
      <c r="E41" s="184">
        <v>23265</v>
      </c>
      <c r="F41" s="184">
        <v>22688.5</v>
      </c>
      <c r="G41" s="187"/>
      <c r="K41" s="87"/>
      <c r="L41" s="87"/>
    </row>
    <row r="42" spans="2:12" ht="15.75">
      <c r="B42" s="188" t="s">
        <v>46</v>
      </c>
      <c r="C42" s="181" t="s">
        <v>103</v>
      </c>
      <c r="D42" s="182"/>
      <c r="E42" s="184"/>
      <c r="F42" s="184">
        <v>625</v>
      </c>
      <c r="G42" s="187"/>
      <c r="K42" s="87"/>
      <c r="L42" s="87"/>
    </row>
    <row r="43" spans="2:12" ht="15.75">
      <c r="B43" s="188" t="s">
        <v>47</v>
      </c>
      <c r="C43" s="181" t="s">
        <v>104</v>
      </c>
      <c r="D43" s="182"/>
      <c r="E43" s="184">
        <v>41303.08</v>
      </c>
      <c r="F43" s="184">
        <v>335912.6</v>
      </c>
      <c r="G43" s="187"/>
      <c r="K43" s="87"/>
      <c r="L43" s="87"/>
    </row>
    <row r="44" spans="2:12" ht="15.75">
      <c r="B44" s="188" t="s">
        <v>48</v>
      </c>
      <c r="C44" s="181" t="s">
        <v>105</v>
      </c>
      <c r="D44" s="182"/>
      <c r="E44" s="184">
        <v>3759645.08</v>
      </c>
      <c r="F44" s="184">
        <v>4277182.16</v>
      </c>
      <c r="G44" s="187"/>
      <c r="K44" s="87"/>
      <c r="L44" s="87"/>
    </row>
    <row r="45" spans="2:12" ht="15.75">
      <c r="B45" s="188" t="s">
        <v>49</v>
      </c>
      <c r="C45" s="181" t="s">
        <v>106</v>
      </c>
      <c r="D45" s="182"/>
      <c r="E45" s="184">
        <v>60545.14</v>
      </c>
      <c r="F45" s="184">
        <v>80521.97</v>
      </c>
      <c r="G45" s="189"/>
      <c r="K45" s="87"/>
      <c r="L45" s="87"/>
    </row>
    <row r="46" spans="2:12" ht="15.75">
      <c r="B46" s="188" t="s">
        <v>50</v>
      </c>
      <c r="C46" s="181" t="s">
        <v>107</v>
      </c>
      <c r="D46" s="182"/>
      <c r="E46" s="184">
        <v>2199558.8</v>
      </c>
      <c r="F46" s="184">
        <v>2829227.26</v>
      </c>
      <c r="G46" s="189"/>
      <c r="K46" s="87"/>
      <c r="L46" s="87"/>
    </row>
    <row r="47" spans="2:12" ht="15.75">
      <c r="B47" s="188" t="s">
        <v>350</v>
      </c>
      <c r="C47" s="181" t="s">
        <v>107</v>
      </c>
      <c r="D47" s="182"/>
      <c r="E47" s="184">
        <v>192843.62</v>
      </c>
      <c r="F47" s="184">
        <v>816.75</v>
      </c>
      <c r="G47" s="189"/>
      <c r="K47" s="87"/>
      <c r="L47" s="87"/>
    </row>
    <row r="48" spans="2:12" ht="15.75">
      <c r="B48" s="188" t="s">
        <v>51</v>
      </c>
      <c r="C48" s="181" t="s">
        <v>108</v>
      </c>
      <c r="D48" s="182"/>
      <c r="E48" s="184">
        <v>26709.87</v>
      </c>
      <c r="F48" s="184">
        <v>30289.05</v>
      </c>
      <c r="G48" s="189"/>
      <c r="K48" s="87"/>
      <c r="L48" s="87"/>
    </row>
    <row r="49" spans="2:12" ht="15.75" hidden="1">
      <c r="B49" s="188" t="s">
        <v>52</v>
      </c>
      <c r="C49" s="181" t="s">
        <v>109</v>
      </c>
      <c r="D49" s="182"/>
      <c r="E49" s="184"/>
      <c r="F49" s="184"/>
      <c r="G49" s="189"/>
      <c r="K49" s="87"/>
      <c r="L49" s="87"/>
    </row>
    <row r="50" spans="2:12" ht="15.75">
      <c r="B50" s="188" t="s">
        <v>351</v>
      </c>
      <c r="C50" s="181" t="s">
        <v>110</v>
      </c>
      <c r="D50" s="182"/>
      <c r="E50" s="184">
        <v>7825370.53</v>
      </c>
      <c r="F50" s="184">
        <v>9580475.4</v>
      </c>
      <c r="G50" s="189"/>
      <c r="K50" s="87"/>
      <c r="L50" s="87"/>
    </row>
    <row r="51" spans="2:12" ht="15.75">
      <c r="B51" s="188" t="s">
        <v>352</v>
      </c>
      <c r="C51" s="181" t="s">
        <v>110</v>
      </c>
      <c r="D51" s="182"/>
      <c r="E51" s="184">
        <v>98045.13</v>
      </c>
      <c r="F51" s="184">
        <v>5625.23</v>
      </c>
      <c r="G51" s="189"/>
      <c r="K51" s="87"/>
      <c r="L51" s="87"/>
    </row>
    <row r="52" spans="2:12" ht="15.75">
      <c r="B52" s="188" t="s">
        <v>54</v>
      </c>
      <c r="C52" s="181" t="s">
        <v>111</v>
      </c>
      <c r="D52" s="182"/>
      <c r="E52" s="184">
        <v>545571.23</v>
      </c>
      <c r="F52" s="184">
        <v>601966.88</v>
      </c>
      <c r="G52" s="189"/>
      <c r="K52" s="87"/>
      <c r="L52" s="87"/>
    </row>
    <row r="53" spans="2:12" ht="15.75">
      <c r="B53" s="188" t="s">
        <v>55</v>
      </c>
      <c r="C53" s="181" t="s">
        <v>112</v>
      </c>
      <c r="D53" s="182"/>
      <c r="E53" s="184">
        <v>467891.48</v>
      </c>
      <c r="F53" s="184">
        <v>911474.01</v>
      </c>
      <c r="G53" s="189"/>
      <c r="K53" s="87"/>
      <c r="L53" s="87"/>
    </row>
    <row r="54" spans="2:12" ht="15.75">
      <c r="B54" s="188" t="s">
        <v>56</v>
      </c>
      <c r="C54" s="181" t="s">
        <v>113</v>
      </c>
      <c r="D54" s="182"/>
      <c r="E54" s="184">
        <v>7687.93</v>
      </c>
      <c r="F54" s="184">
        <v>8096.57</v>
      </c>
      <c r="G54" s="189"/>
      <c r="K54" s="87"/>
      <c r="L54" s="87"/>
    </row>
    <row r="55" spans="2:12" ht="15.75">
      <c r="B55" s="188" t="s">
        <v>57</v>
      </c>
      <c r="C55" s="181" t="s">
        <v>114</v>
      </c>
      <c r="D55" s="182"/>
      <c r="E55" s="184">
        <v>500</v>
      </c>
      <c r="F55" s="184">
        <v>100</v>
      </c>
      <c r="G55" s="189"/>
      <c r="K55" s="87"/>
      <c r="L55" s="87"/>
    </row>
    <row r="56" spans="2:12" ht="15.75">
      <c r="B56" s="188" t="s">
        <v>58</v>
      </c>
      <c r="C56" s="181" t="s">
        <v>115</v>
      </c>
      <c r="D56" s="182"/>
      <c r="E56" s="184">
        <v>433896.47</v>
      </c>
      <c r="F56" s="184">
        <v>477388.71</v>
      </c>
      <c r="G56" s="189"/>
      <c r="K56" s="87"/>
      <c r="L56" s="87"/>
    </row>
    <row r="57" spans="2:12" ht="15.75">
      <c r="B57" s="186" t="s">
        <v>0</v>
      </c>
      <c r="C57" s="181">
        <v>583</v>
      </c>
      <c r="D57" s="182"/>
      <c r="E57" s="184">
        <v>5941263.12</v>
      </c>
      <c r="F57" s="184">
        <v>5675491.73</v>
      </c>
      <c r="G57" s="189">
        <v>6000000</v>
      </c>
      <c r="K57" s="87"/>
      <c r="L57" s="87"/>
    </row>
    <row r="58" spans="2:12" ht="15.75">
      <c r="B58" s="186" t="s">
        <v>59</v>
      </c>
      <c r="C58" s="181">
        <v>584</v>
      </c>
      <c r="D58" s="182"/>
      <c r="E58" s="184">
        <v>1740716.28</v>
      </c>
      <c r="F58" s="184">
        <v>1409130</v>
      </c>
      <c r="G58" s="189">
        <v>2500000</v>
      </c>
      <c r="K58" s="87"/>
      <c r="L58" s="87"/>
    </row>
    <row r="59" spans="2:12" ht="15.75">
      <c r="B59" s="186" t="s">
        <v>60</v>
      </c>
      <c r="C59" s="181">
        <v>585</v>
      </c>
      <c r="D59" s="182"/>
      <c r="E59" s="184"/>
      <c r="F59" s="184"/>
      <c r="G59" s="189">
        <v>100000</v>
      </c>
      <c r="K59" s="87"/>
      <c r="L59" s="87"/>
    </row>
    <row r="60" spans="2:12" ht="15.75">
      <c r="B60" s="186" t="s">
        <v>61</v>
      </c>
      <c r="C60" s="181">
        <v>586</v>
      </c>
      <c r="D60" s="182"/>
      <c r="E60" s="184">
        <v>84412.92</v>
      </c>
      <c r="F60" s="184">
        <v>68992.49</v>
      </c>
      <c r="G60" s="189">
        <v>75000</v>
      </c>
      <c r="K60" s="87"/>
      <c r="L60" s="87"/>
    </row>
    <row r="61" spans="2:12" ht="15.75">
      <c r="B61" s="186" t="s">
        <v>1</v>
      </c>
      <c r="C61" s="181">
        <v>587</v>
      </c>
      <c r="D61" s="182"/>
      <c r="E61" s="184">
        <v>9565431.03</v>
      </c>
      <c r="F61" s="184">
        <v>3753654.7</v>
      </c>
      <c r="G61" s="189">
        <v>5000000</v>
      </c>
      <c r="K61" s="87"/>
      <c r="L61" s="87"/>
    </row>
    <row r="62" spans="2:12" ht="15.75">
      <c r="B62" s="186" t="s">
        <v>2</v>
      </c>
      <c r="C62" s="181">
        <v>592</v>
      </c>
      <c r="D62" s="182"/>
      <c r="E62" s="184">
        <v>251587.5</v>
      </c>
      <c r="F62" s="184">
        <v>261335</v>
      </c>
      <c r="G62" s="189">
        <v>350000</v>
      </c>
      <c r="K62" s="87"/>
      <c r="L62" s="87"/>
    </row>
    <row r="63" spans="2:12" ht="15.75">
      <c r="B63" s="186" t="s">
        <v>62</v>
      </c>
      <c r="C63" s="181">
        <v>593</v>
      </c>
      <c r="D63" s="182"/>
      <c r="E63" s="184">
        <v>3917332.31</v>
      </c>
      <c r="F63" s="184">
        <v>2278905.39</v>
      </c>
      <c r="G63" s="189">
        <v>4000000</v>
      </c>
      <c r="K63" s="87"/>
      <c r="L63" s="87"/>
    </row>
    <row r="64" spans="2:12" ht="15.75" hidden="1">
      <c r="B64" s="186" t="s">
        <v>180</v>
      </c>
      <c r="C64" s="181" t="s">
        <v>165</v>
      </c>
      <c r="D64" s="182"/>
      <c r="E64" s="184"/>
      <c r="F64" s="184"/>
      <c r="G64" s="189"/>
      <c r="K64" s="87"/>
      <c r="L64" s="87"/>
    </row>
    <row r="65" spans="2:12" ht="15.75">
      <c r="B65" s="186" t="s">
        <v>187</v>
      </c>
      <c r="C65" s="181">
        <v>599</v>
      </c>
      <c r="D65" s="182"/>
      <c r="E65" s="184">
        <v>38677.3</v>
      </c>
      <c r="F65" s="184">
        <v>14382.45</v>
      </c>
      <c r="G65" s="189">
        <v>100000</v>
      </c>
      <c r="K65" s="87"/>
      <c r="L65" s="87"/>
    </row>
    <row r="66" spans="2:12" ht="15.75">
      <c r="B66" s="186" t="s">
        <v>188</v>
      </c>
      <c r="C66" s="181">
        <v>601</v>
      </c>
      <c r="D66" s="182"/>
      <c r="E66" s="184">
        <v>322415</v>
      </c>
      <c r="F66" s="184">
        <v>266305</v>
      </c>
      <c r="G66" s="189">
        <v>200000</v>
      </c>
      <c r="K66" s="87"/>
      <c r="L66" s="87"/>
    </row>
    <row r="67" spans="2:12" ht="15.75">
      <c r="B67" s="186" t="s">
        <v>65</v>
      </c>
      <c r="C67" s="181">
        <v>605</v>
      </c>
      <c r="D67" s="182"/>
      <c r="E67" s="184"/>
      <c r="F67" s="184"/>
      <c r="G67" s="189">
        <v>17000000</v>
      </c>
      <c r="K67" s="87"/>
      <c r="L67" s="87"/>
    </row>
    <row r="68" spans="2:12" ht="15.75">
      <c r="B68" s="186" t="s">
        <v>66</v>
      </c>
      <c r="C68" s="181" t="s">
        <v>116</v>
      </c>
      <c r="D68" s="182"/>
      <c r="E68" s="184">
        <v>5717758.78</v>
      </c>
      <c r="F68" s="184">
        <v>5675344.68</v>
      </c>
      <c r="G68" s="189"/>
      <c r="K68" s="87"/>
      <c r="L68" s="87"/>
    </row>
    <row r="69" spans="2:12" ht="15.75">
      <c r="B69" s="186" t="s">
        <v>353</v>
      </c>
      <c r="C69" s="181" t="s">
        <v>116</v>
      </c>
      <c r="D69" s="182"/>
      <c r="E69" s="184">
        <v>845453.13</v>
      </c>
      <c r="F69" s="184">
        <v>1334945</v>
      </c>
      <c r="G69" s="189"/>
      <c r="K69" s="87"/>
      <c r="L69" s="87"/>
    </row>
    <row r="70" spans="2:12" ht="15.75">
      <c r="B70" s="186" t="s">
        <v>67</v>
      </c>
      <c r="C70" s="181" t="s">
        <v>117</v>
      </c>
      <c r="D70" s="182"/>
      <c r="E70" s="184">
        <v>3965980.59</v>
      </c>
      <c r="F70" s="184">
        <v>3734779.52</v>
      </c>
      <c r="G70" s="189"/>
      <c r="K70" s="87"/>
      <c r="L70" s="87"/>
    </row>
    <row r="71" spans="2:12" ht="15.75">
      <c r="B71" s="186" t="s">
        <v>68</v>
      </c>
      <c r="C71" s="181" t="s">
        <v>118</v>
      </c>
      <c r="D71" s="182"/>
      <c r="E71" s="184">
        <v>5874250.42</v>
      </c>
      <c r="F71" s="184">
        <v>4266470.74</v>
      </c>
      <c r="G71" s="189"/>
      <c r="K71" s="87"/>
      <c r="L71" s="87"/>
    </row>
    <row r="72" spans="2:12" ht="15.75">
      <c r="B72" s="186" t="s">
        <v>69</v>
      </c>
      <c r="C72" s="181" t="s">
        <v>119</v>
      </c>
      <c r="D72" s="182"/>
      <c r="E72" s="184">
        <v>1186589.94</v>
      </c>
      <c r="F72" s="184">
        <v>675793.27</v>
      </c>
      <c r="G72" s="189"/>
      <c r="K72" s="87"/>
      <c r="L72" s="87"/>
    </row>
    <row r="73" spans="2:12" ht="15.75">
      <c r="B73" s="186" t="s">
        <v>70</v>
      </c>
      <c r="C73" s="181" t="s">
        <v>120</v>
      </c>
      <c r="D73" s="182"/>
      <c r="E73" s="184">
        <v>235905</v>
      </c>
      <c r="F73" s="184">
        <v>172950</v>
      </c>
      <c r="G73" s="189"/>
      <c r="K73" s="87"/>
      <c r="L73" s="87"/>
    </row>
    <row r="74" spans="2:12" ht="15.75">
      <c r="B74" s="186" t="s">
        <v>71</v>
      </c>
      <c r="C74" s="181" t="s">
        <v>121</v>
      </c>
      <c r="D74" s="182"/>
      <c r="E74" s="184">
        <v>317305</v>
      </c>
      <c r="F74" s="184">
        <v>257510</v>
      </c>
      <c r="G74" s="189" t="s">
        <v>200</v>
      </c>
      <c r="K74" s="87"/>
      <c r="L74" s="87"/>
    </row>
    <row r="75" spans="2:12" ht="15.75">
      <c r="B75" s="186" t="s">
        <v>72</v>
      </c>
      <c r="C75" s="181" t="s">
        <v>122</v>
      </c>
      <c r="D75" s="182"/>
      <c r="E75" s="184">
        <v>4269148.02</v>
      </c>
      <c r="F75" s="184">
        <v>3257659.54</v>
      </c>
      <c r="G75" s="189"/>
      <c r="K75" s="87"/>
      <c r="L75" s="87"/>
    </row>
    <row r="76" spans="2:12" ht="15.75">
      <c r="B76" s="186" t="s">
        <v>73</v>
      </c>
      <c r="C76" s="181" t="s">
        <v>123</v>
      </c>
      <c r="D76" s="182"/>
      <c r="E76" s="184">
        <v>1125</v>
      </c>
      <c r="F76" s="184">
        <v>37383</v>
      </c>
      <c r="G76" s="189"/>
      <c r="K76" s="87"/>
      <c r="L76" s="87"/>
    </row>
    <row r="77" spans="2:12" ht="15.75">
      <c r="B77" s="186" t="s">
        <v>4</v>
      </c>
      <c r="C77" s="181">
        <v>606</v>
      </c>
      <c r="D77" s="182"/>
      <c r="E77" s="184">
        <v>713365</v>
      </c>
      <c r="F77" s="184">
        <v>499240</v>
      </c>
      <c r="G77" s="189">
        <v>700000</v>
      </c>
      <c r="K77" s="87"/>
      <c r="L77" s="87"/>
    </row>
    <row r="78" spans="2:12" ht="15.75">
      <c r="B78" s="186" t="s">
        <v>189</v>
      </c>
      <c r="C78" s="181">
        <v>609</v>
      </c>
      <c r="D78" s="182"/>
      <c r="E78" s="184">
        <v>2496528.36</v>
      </c>
      <c r="F78" s="184">
        <v>3254201.73</v>
      </c>
      <c r="G78" s="189">
        <v>1000000</v>
      </c>
      <c r="K78" s="87"/>
      <c r="L78" s="87"/>
    </row>
    <row r="79" spans="2:12" ht="15.75">
      <c r="B79" s="186" t="s">
        <v>74</v>
      </c>
      <c r="C79" s="181">
        <v>613</v>
      </c>
      <c r="D79" s="182"/>
      <c r="E79" s="184">
        <v>6516449.98</v>
      </c>
      <c r="F79" s="184">
        <v>5646432.98</v>
      </c>
      <c r="G79" s="189">
        <v>8000000</v>
      </c>
      <c r="K79" s="87"/>
      <c r="L79" s="87"/>
    </row>
    <row r="80" spans="2:12" ht="15.75">
      <c r="B80" s="186" t="s">
        <v>6</v>
      </c>
      <c r="C80" s="181">
        <v>616</v>
      </c>
      <c r="D80" s="182"/>
      <c r="E80" s="184">
        <v>5229160</v>
      </c>
      <c r="F80" s="184">
        <v>5375940</v>
      </c>
      <c r="G80" s="189">
        <v>6500000</v>
      </c>
      <c r="K80" s="87"/>
      <c r="L80" s="87"/>
    </row>
    <row r="81" spans="2:12" ht="15.75">
      <c r="B81" s="186" t="s">
        <v>7</v>
      </c>
      <c r="C81" s="181">
        <v>617</v>
      </c>
      <c r="D81" s="182"/>
      <c r="E81" s="184">
        <v>149159.56</v>
      </c>
      <c r="F81" s="184">
        <v>78182.4</v>
      </c>
      <c r="G81" s="189">
        <v>400000</v>
      </c>
      <c r="K81" s="87"/>
      <c r="L81" s="87"/>
    </row>
    <row r="82" spans="2:12" ht="15.75">
      <c r="B82" s="186" t="s">
        <v>8</v>
      </c>
      <c r="C82" s="181">
        <v>619</v>
      </c>
      <c r="D82" s="182"/>
      <c r="E82" s="184"/>
      <c r="F82" s="184"/>
      <c r="G82" s="189">
        <v>3000000</v>
      </c>
      <c r="K82" s="87"/>
      <c r="L82" s="87"/>
    </row>
    <row r="83" spans="2:12" ht="15.75">
      <c r="B83" s="186" t="s">
        <v>157</v>
      </c>
      <c r="C83" s="181" t="s">
        <v>160</v>
      </c>
      <c r="D83" s="182"/>
      <c r="E83" s="184">
        <v>956453.5</v>
      </c>
      <c r="F83" s="184">
        <v>1017591</v>
      </c>
      <c r="G83" s="189"/>
      <c r="K83" s="87"/>
      <c r="L83" s="87"/>
    </row>
    <row r="84" spans="2:12" ht="15.75">
      <c r="B84" s="186" t="s">
        <v>158</v>
      </c>
      <c r="C84" s="181" t="s">
        <v>161</v>
      </c>
      <c r="D84" s="182"/>
      <c r="E84" s="184">
        <v>947265</v>
      </c>
      <c r="F84" s="184">
        <v>1002898</v>
      </c>
      <c r="G84" s="189"/>
      <c r="K84" s="87"/>
      <c r="L84" s="87"/>
    </row>
    <row r="85" spans="2:12" ht="15.75">
      <c r="B85" s="186" t="s">
        <v>159</v>
      </c>
      <c r="C85" s="181" t="s">
        <v>162</v>
      </c>
      <c r="D85" s="182"/>
      <c r="E85" s="184">
        <v>227080</v>
      </c>
      <c r="F85" s="184">
        <v>85985</v>
      </c>
      <c r="G85" s="189"/>
      <c r="K85" s="87"/>
      <c r="L85" s="87"/>
    </row>
    <row r="86" spans="2:12" ht="15.75">
      <c r="B86" s="186" t="s">
        <v>9</v>
      </c>
      <c r="C86" s="181">
        <v>623</v>
      </c>
      <c r="D86" s="182"/>
      <c r="E86" s="184">
        <v>5953710.47</v>
      </c>
      <c r="F86" s="184">
        <v>3999174.83</v>
      </c>
      <c r="G86" s="189">
        <v>6000000</v>
      </c>
      <c r="K86" s="87"/>
      <c r="L86" s="87"/>
    </row>
    <row r="87" spans="2:12" ht="15.75">
      <c r="B87" s="186" t="s">
        <v>180</v>
      </c>
      <c r="C87" s="181">
        <v>628</v>
      </c>
      <c r="D87" s="182"/>
      <c r="E87" s="184">
        <v>3968973.04</v>
      </c>
      <c r="F87" s="184">
        <v>1528775.74</v>
      </c>
      <c r="G87" s="189">
        <v>5000000</v>
      </c>
      <c r="K87" s="87"/>
      <c r="L87" s="87"/>
    </row>
    <row r="88" spans="2:12" ht="15.75">
      <c r="B88" s="186" t="s">
        <v>201</v>
      </c>
      <c r="C88" s="181">
        <v>629</v>
      </c>
      <c r="D88" s="182"/>
      <c r="E88" s="184"/>
      <c r="F88" s="184"/>
      <c r="G88" s="189">
        <v>5500000</v>
      </c>
      <c r="K88" s="87"/>
      <c r="L88" s="87"/>
    </row>
    <row r="89" spans="2:12" ht="15.75">
      <c r="B89" s="186" t="s">
        <v>75</v>
      </c>
      <c r="C89" s="181">
        <v>636</v>
      </c>
      <c r="D89" s="182"/>
      <c r="E89" s="184"/>
      <c r="F89" s="184"/>
      <c r="G89" s="189">
        <v>12000000</v>
      </c>
      <c r="K89" s="87"/>
      <c r="L89" s="87"/>
    </row>
    <row r="90" spans="2:12" ht="15.75">
      <c r="B90" s="186" t="s">
        <v>76</v>
      </c>
      <c r="C90" s="181" t="s">
        <v>124</v>
      </c>
      <c r="D90" s="182"/>
      <c r="E90" s="184">
        <v>9864988.07</v>
      </c>
      <c r="F90" s="184">
        <v>3115950.9</v>
      </c>
      <c r="G90" s="189"/>
      <c r="K90" s="87"/>
      <c r="L90" s="87"/>
    </row>
    <row r="91" spans="2:12" ht="15.75">
      <c r="B91" s="186" t="s">
        <v>202</v>
      </c>
      <c r="C91" s="181" t="s">
        <v>203</v>
      </c>
      <c r="D91" s="182"/>
      <c r="E91" s="184">
        <v>26483.5</v>
      </c>
      <c r="F91" s="184"/>
      <c r="G91" s="189"/>
      <c r="K91" s="87"/>
      <c r="L91" s="87"/>
    </row>
    <row r="92" spans="2:12" ht="15.75">
      <c r="B92" s="186" t="s">
        <v>204</v>
      </c>
      <c r="C92" s="181" t="s">
        <v>125</v>
      </c>
      <c r="D92" s="182"/>
      <c r="E92" s="184">
        <v>866928.82</v>
      </c>
      <c r="F92" s="184">
        <v>231625.43</v>
      </c>
      <c r="G92" s="189"/>
      <c r="K92" s="87"/>
      <c r="L92" s="87"/>
    </row>
    <row r="93" spans="2:12" ht="15.75">
      <c r="B93" s="186" t="s">
        <v>205</v>
      </c>
      <c r="C93" s="181" t="s">
        <v>206</v>
      </c>
      <c r="D93" s="182"/>
      <c r="E93" s="184">
        <v>12448.62</v>
      </c>
      <c r="F93" s="184"/>
      <c r="G93" s="189"/>
      <c r="K93" s="87"/>
      <c r="L93" s="87"/>
    </row>
    <row r="94" spans="2:12" ht="15.75">
      <c r="B94" s="186" t="s">
        <v>207</v>
      </c>
      <c r="C94" s="181" t="s">
        <v>208</v>
      </c>
      <c r="D94" s="182"/>
      <c r="E94" s="184">
        <v>7573884.18</v>
      </c>
      <c r="F94" s="184">
        <v>2979732.79</v>
      </c>
      <c r="G94" s="189"/>
      <c r="K94" s="87"/>
      <c r="L94" s="87"/>
    </row>
    <row r="95" spans="2:12" ht="15.75">
      <c r="B95" s="186" t="s">
        <v>78</v>
      </c>
      <c r="C95" s="181">
        <v>637</v>
      </c>
      <c r="D95" s="182"/>
      <c r="E95" s="184"/>
      <c r="F95" s="184"/>
      <c r="G95" s="189">
        <v>8000000</v>
      </c>
      <c r="K95" s="87"/>
      <c r="L95" s="87"/>
    </row>
    <row r="96" spans="2:12" ht="15.75">
      <c r="B96" s="186" t="s">
        <v>79</v>
      </c>
      <c r="C96" s="181" t="s">
        <v>126</v>
      </c>
      <c r="D96" s="182"/>
      <c r="E96" s="184">
        <v>6991215.56</v>
      </c>
      <c r="F96" s="184">
        <v>2176338.9</v>
      </c>
      <c r="G96" s="189"/>
      <c r="K96" s="87"/>
      <c r="L96" s="87"/>
    </row>
    <row r="97" spans="2:12" ht="15.75">
      <c r="B97" s="186" t="s">
        <v>80</v>
      </c>
      <c r="C97" s="181" t="s">
        <v>127</v>
      </c>
      <c r="D97" s="182"/>
      <c r="E97" s="184">
        <v>1374599.16</v>
      </c>
      <c r="F97" s="184">
        <v>503172.8</v>
      </c>
      <c r="G97" s="189"/>
      <c r="K97" s="87"/>
      <c r="L97" s="87"/>
    </row>
    <row r="98" spans="2:12" ht="15.75">
      <c r="B98" s="186" t="s">
        <v>81</v>
      </c>
      <c r="C98" s="181" t="s">
        <v>128</v>
      </c>
      <c r="D98" s="182"/>
      <c r="E98" s="184">
        <v>165500</v>
      </c>
      <c r="F98" s="184">
        <v>113370</v>
      </c>
      <c r="G98" s="189"/>
      <c r="K98" s="87"/>
      <c r="L98" s="87"/>
    </row>
    <row r="99" spans="2:12" ht="15.75">
      <c r="B99" s="186" t="s">
        <v>82</v>
      </c>
      <c r="C99" s="181" t="s">
        <v>129</v>
      </c>
      <c r="D99" s="182"/>
      <c r="E99" s="184">
        <v>28640</v>
      </c>
      <c r="F99" s="184"/>
      <c r="G99" s="189"/>
      <c r="K99" s="87"/>
      <c r="L99" s="87"/>
    </row>
    <row r="100" spans="2:12" ht="15.75">
      <c r="B100" s="190" t="s">
        <v>83</v>
      </c>
      <c r="C100" s="181" t="s">
        <v>130</v>
      </c>
      <c r="D100" s="182"/>
      <c r="E100" s="184">
        <v>6700</v>
      </c>
      <c r="F100" s="184">
        <v>28609.64</v>
      </c>
      <c r="G100" s="189"/>
      <c r="K100" s="87"/>
      <c r="L100" s="87"/>
    </row>
    <row r="101" spans="2:12" ht="15.75">
      <c r="B101" s="190" t="s">
        <v>134</v>
      </c>
      <c r="C101" s="181">
        <v>638</v>
      </c>
      <c r="D101" s="182"/>
      <c r="E101" s="184">
        <v>7266227.25</v>
      </c>
      <c r="F101" s="184">
        <v>2406661.14</v>
      </c>
      <c r="G101" s="189">
        <v>6000000</v>
      </c>
      <c r="K101" s="87"/>
      <c r="L101" s="87"/>
    </row>
    <row r="102" spans="2:12" ht="15.75">
      <c r="B102" s="190" t="s">
        <v>10</v>
      </c>
      <c r="C102" s="181">
        <v>642</v>
      </c>
      <c r="D102" s="182"/>
      <c r="E102" s="184"/>
      <c r="F102" s="184"/>
      <c r="G102" s="189"/>
      <c r="K102" s="87"/>
      <c r="L102" s="87"/>
    </row>
    <row r="103" spans="2:12" ht="15.75">
      <c r="B103" s="190" t="s">
        <v>84</v>
      </c>
      <c r="C103" s="181" t="s">
        <v>131</v>
      </c>
      <c r="D103" s="182"/>
      <c r="E103" s="184">
        <f>+591750+3726</f>
        <v>595476</v>
      </c>
      <c r="F103" s="184">
        <v>1324207.67</v>
      </c>
      <c r="G103" s="189">
        <v>200000</v>
      </c>
      <c r="K103" s="87"/>
      <c r="L103" s="87"/>
    </row>
    <row r="104" spans="2:12" ht="15.75">
      <c r="B104" s="190" t="s">
        <v>85</v>
      </c>
      <c r="C104" s="181" t="s">
        <v>132</v>
      </c>
      <c r="D104" s="182"/>
      <c r="E104" s="184">
        <f>+4937094.71-3726</f>
        <v>4933368.71</v>
      </c>
      <c r="F104" s="184">
        <v>3061023</v>
      </c>
      <c r="G104" s="189">
        <v>4000000</v>
      </c>
      <c r="K104" s="87"/>
      <c r="L104" s="87"/>
    </row>
    <row r="105" spans="2:12" ht="15.75">
      <c r="B105" s="190" t="s">
        <v>86</v>
      </c>
      <c r="C105" s="181" t="s">
        <v>133</v>
      </c>
      <c r="D105" s="182"/>
      <c r="E105" s="184">
        <v>268119.24</v>
      </c>
      <c r="F105" s="184">
        <v>258064.77</v>
      </c>
      <c r="G105" s="189">
        <v>300000</v>
      </c>
      <c r="K105" s="87"/>
      <c r="L105" s="87"/>
    </row>
    <row r="106" spans="2:12" ht="15.75">
      <c r="B106" s="190" t="s">
        <v>178</v>
      </c>
      <c r="C106" s="181" t="s">
        <v>176</v>
      </c>
      <c r="D106" s="182"/>
      <c r="E106" s="184">
        <v>14300</v>
      </c>
      <c r="F106" s="184"/>
      <c r="G106" s="189">
        <v>50000</v>
      </c>
      <c r="K106" s="87"/>
      <c r="L106" s="87"/>
    </row>
    <row r="107" spans="2:12" ht="15.75">
      <c r="B107" s="190" t="s">
        <v>177</v>
      </c>
      <c r="C107" s="181" t="s">
        <v>179</v>
      </c>
      <c r="D107" s="182"/>
      <c r="E107" s="184">
        <v>100000</v>
      </c>
      <c r="F107" s="184"/>
      <c r="G107" s="189"/>
      <c r="K107" s="87"/>
      <c r="L107" s="87"/>
    </row>
    <row r="108" spans="2:12" ht="15.75">
      <c r="B108" s="190" t="s">
        <v>193</v>
      </c>
      <c r="C108" s="181" t="s">
        <v>194</v>
      </c>
      <c r="D108" s="182"/>
      <c r="E108" s="184">
        <v>208834</v>
      </c>
      <c r="F108" s="184">
        <v>64076.21</v>
      </c>
      <c r="G108" s="189">
        <v>25000</v>
      </c>
      <c r="K108" s="87"/>
      <c r="L108" s="87"/>
    </row>
    <row r="109" spans="2:12" ht="15.75">
      <c r="B109" s="190" t="s">
        <v>375</v>
      </c>
      <c r="C109" s="181" t="s">
        <v>376</v>
      </c>
      <c r="D109" s="182"/>
      <c r="E109" s="184"/>
      <c r="F109" s="184">
        <v>3791666.67</v>
      </c>
      <c r="G109" s="189"/>
      <c r="H109" s="93"/>
      <c r="K109" s="87"/>
      <c r="L109" s="87"/>
    </row>
    <row r="110" spans="1:12" ht="15.75">
      <c r="A110" s="87">
        <v>0</v>
      </c>
      <c r="B110" s="190" t="s">
        <v>163</v>
      </c>
      <c r="C110" s="181">
        <v>648</v>
      </c>
      <c r="D110" s="182"/>
      <c r="E110" s="184"/>
      <c r="F110" s="184"/>
      <c r="G110" s="189"/>
      <c r="K110" s="87"/>
      <c r="L110" s="87"/>
    </row>
    <row r="111" spans="2:12" ht="15.75" hidden="1">
      <c r="B111" s="190" t="s">
        <v>190</v>
      </c>
      <c r="C111" s="181" t="s">
        <v>191</v>
      </c>
      <c r="D111" s="182"/>
      <c r="E111" s="184"/>
      <c r="F111" s="184"/>
      <c r="G111" s="189"/>
      <c r="K111" s="87"/>
      <c r="L111" s="87"/>
    </row>
    <row r="112" spans="2:12" ht="15.75">
      <c r="B112" s="190" t="s">
        <v>166</v>
      </c>
      <c r="C112" s="181" t="s">
        <v>167</v>
      </c>
      <c r="D112" s="182"/>
      <c r="E112" s="184">
        <f>+1618883+3986.75</f>
        <v>1622869.75</v>
      </c>
      <c r="F112" s="184">
        <v>832232.46</v>
      </c>
      <c r="G112" s="189">
        <v>4000000</v>
      </c>
      <c r="I112" s="233" t="s">
        <v>380</v>
      </c>
      <c r="K112" s="87"/>
      <c r="L112" s="87"/>
    </row>
    <row r="113" spans="2:12" ht="15.75" hidden="1">
      <c r="B113" s="190" t="s">
        <v>183</v>
      </c>
      <c r="C113" s="181" t="s">
        <v>184</v>
      </c>
      <c r="D113" s="182"/>
      <c r="E113" s="184"/>
      <c r="F113" s="184"/>
      <c r="G113" s="189"/>
      <c r="K113" s="87"/>
      <c r="L113" s="87"/>
    </row>
    <row r="114" spans="2:12" ht="15.75">
      <c r="B114" s="190" t="s">
        <v>168</v>
      </c>
      <c r="C114" s="181" t="s">
        <v>169</v>
      </c>
      <c r="D114" s="182"/>
      <c r="E114" s="184">
        <f>+2019343.18-3986.75</f>
        <v>2015356.43</v>
      </c>
      <c r="F114" s="184">
        <f>+1329414.19+171784.01</f>
        <v>1501198.2</v>
      </c>
      <c r="G114" s="189">
        <v>2000000</v>
      </c>
      <c r="I114" s="233"/>
      <c r="K114" s="87"/>
      <c r="L114" s="87"/>
    </row>
    <row r="115" spans="2:12" ht="15.75">
      <c r="B115" s="190" t="s">
        <v>181</v>
      </c>
      <c r="C115" s="181" t="s">
        <v>182</v>
      </c>
      <c r="D115" s="182"/>
      <c r="E115" s="184">
        <v>314.4</v>
      </c>
      <c r="F115" s="184"/>
      <c r="G115" s="189"/>
      <c r="K115" s="87"/>
      <c r="L115" s="87"/>
    </row>
    <row r="116" spans="2:12" ht="15.75">
      <c r="B116" s="190" t="s">
        <v>209</v>
      </c>
      <c r="C116" s="181" t="s">
        <v>192</v>
      </c>
      <c r="D116" s="182"/>
      <c r="E116" s="184">
        <v>30945</v>
      </c>
      <c r="F116" s="184">
        <v>18300</v>
      </c>
      <c r="G116" s="189">
        <v>50000</v>
      </c>
      <c r="I116" s="233" t="s">
        <v>380</v>
      </c>
      <c r="K116" s="87"/>
      <c r="L116" s="87"/>
    </row>
    <row r="117" spans="2:7" ht="15.75" hidden="1">
      <c r="B117" s="190" t="s">
        <v>210</v>
      </c>
      <c r="C117" s="181" t="s">
        <v>170</v>
      </c>
      <c r="D117" s="182"/>
      <c r="E117" s="184"/>
      <c r="F117" s="184"/>
      <c r="G117" s="189"/>
    </row>
    <row r="118" spans="2:7" ht="15.75">
      <c r="B118" s="190" t="s">
        <v>211</v>
      </c>
      <c r="C118" s="181" t="s">
        <v>171</v>
      </c>
      <c r="D118" s="182"/>
      <c r="E118" s="184">
        <v>55494024.16</v>
      </c>
      <c r="F118" s="184">
        <f>+36812075.8+3221570</f>
        <v>40033645.8</v>
      </c>
      <c r="G118" s="189"/>
    </row>
    <row r="119" spans="2:7" ht="15.75">
      <c r="B119" s="190" t="s">
        <v>212</v>
      </c>
      <c r="C119" s="181" t="s">
        <v>172</v>
      </c>
      <c r="D119" s="182"/>
      <c r="E119" s="184">
        <v>2581451.05</v>
      </c>
      <c r="F119" s="184">
        <f>+935317.73+309504.52</f>
        <v>1244822.25</v>
      </c>
      <c r="G119" s="189">
        <v>13000000</v>
      </c>
    </row>
    <row r="120" spans="2:7" ht="15.75" hidden="1">
      <c r="B120" s="190" t="s">
        <v>213</v>
      </c>
      <c r="C120" s="181" t="s">
        <v>173</v>
      </c>
      <c r="D120" s="182"/>
      <c r="E120" s="184"/>
      <c r="F120" s="184"/>
      <c r="G120" s="189"/>
    </row>
    <row r="121" spans="2:7" ht="15.75">
      <c r="B121" s="190" t="s">
        <v>214</v>
      </c>
      <c r="C121" s="181" t="s">
        <v>174</v>
      </c>
      <c r="D121" s="182"/>
      <c r="E121" s="184">
        <v>499748.47</v>
      </c>
      <c r="F121" s="184">
        <f>+371067+63535.83</f>
        <v>434602.83</v>
      </c>
      <c r="G121" s="189">
        <v>200000</v>
      </c>
    </row>
    <row r="122" spans="2:7" ht="15.75">
      <c r="B122" s="190" t="s">
        <v>215</v>
      </c>
      <c r="C122" s="181" t="s">
        <v>175</v>
      </c>
      <c r="D122" s="182"/>
      <c r="E122" s="184">
        <v>14100502</v>
      </c>
      <c r="F122" s="184">
        <f>+10970214+822635</f>
        <v>11792849</v>
      </c>
      <c r="G122" s="189"/>
    </row>
    <row r="123" spans="2:7" ht="15.75">
      <c r="B123" s="190" t="s">
        <v>195</v>
      </c>
      <c r="C123" s="181">
        <v>649</v>
      </c>
      <c r="D123" s="182"/>
      <c r="E123" s="184">
        <v>2547086.96</v>
      </c>
      <c r="F123" s="184">
        <v>1913215</v>
      </c>
      <c r="G123" s="189">
        <v>2000000</v>
      </c>
    </row>
    <row r="124" spans="2:7" ht="15.75" hidden="1">
      <c r="B124" s="190" t="s">
        <v>11</v>
      </c>
      <c r="C124" s="181">
        <v>662</v>
      </c>
      <c r="D124" s="182"/>
      <c r="E124" s="184"/>
      <c r="F124" s="184">
        <f>700000-700000</f>
        <v>0</v>
      </c>
      <c r="G124" s="189"/>
    </row>
    <row r="125" spans="2:7" ht="15.75">
      <c r="B125" s="190" t="s">
        <v>12</v>
      </c>
      <c r="C125" s="181">
        <v>664</v>
      </c>
      <c r="D125" s="182"/>
      <c r="E125" s="184">
        <v>327388.18</v>
      </c>
      <c r="F125" s="184">
        <v>279574.52</v>
      </c>
      <c r="G125" s="189">
        <v>250000</v>
      </c>
    </row>
    <row r="126" spans="2:7" ht="15.75">
      <c r="B126" s="190" t="s">
        <v>13</v>
      </c>
      <c r="C126" s="181">
        <v>665</v>
      </c>
      <c r="D126" s="182"/>
      <c r="E126" s="184">
        <v>1290617660</v>
      </c>
      <c r="F126" s="184">
        <f>+922903659+113924445</f>
        <v>1036828104</v>
      </c>
      <c r="G126" s="189">
        <v>1408634000</v>
      </c>
    </row>
    <row r="127" spans="2:7" ht="15.75">
      <c r="B127" s="190" t="s">
        <v>14</v>
      </c>
      <c r="C127" s="181">
        <v>670</v>
      </c>
      <c r="D127" s="182"/>
      <c r="E127" s="184">
        <v>1239718.48</v>
      </c>
      <c r="F127" s="184">
        <v>705687.91</v>
      </c>
      <c r="G127" s="189">
        <v>2000000</v>
      </c>
    </row>
    <row r="128" spans="2:7" ht="15.75">
      <c r="B128" s="190" t="s">
        <v>216</v>
      </c>
      <c r="C128" s="181">
        <v>672</v>
      </c>
      <c r="D128" s="182"/>
      <c r="E128" s="184">
        <v>749423.26</v>
      </c>
      <c r="F128" s="184"/>
      <c r="G128" s="189">
        <v>800000</v>
      </c>
    </row>
    <row r="129" spans="2:7" ht="15.75">
      <c r="B129" s="190" t="s">
        <v>164</v>
      </c>
      <c r="C129" s="181">
        <v>678</v>
      </c>
      <c r="D129" s="182"/>
      <c r="E129" s="184">
        <v>125069079.86</v>
      </c>
      <c r="F129" s="184"/>
      <c r="G129" s="189"/>
    </row>
    <row r="130" spans="2:7" ht="15.75">
      <c r="B130" s="190" t="s">
        <v>354</v>
      </c>
      <c r="C130" s="181" t="s">
        <v>355</v>
      </c>
      <c r="D130" s="182"/>
      <c r="E130" s="184"/>
      <c r="F130" s="184">
        <f>+45755+6500</f>
        <v>52255</v>
      </c>
      <c r="G130" s="189"/>
    </row>
    <row r="131" spans="2:7" ht="15.75" hidden="1">
      <c r="B131" s="190" t="s">
        <v>359</v>
      </c>
      <c r="C131" s="181" t="s">
        <v>356</v>
      </c>
      <c r="D131" s="182"/>
      <c r="E131" s="184"/>
      <c r="F131" s="184"/>
      <c r="G131" s="189"/>
    </row>
    <row r="132" spans="2:7" ht="15.75">
      <c r="B132" s="190" t="s">
        <v>360</v>
      </c>
      <c r="C132" s="181" t="s">
        <v>357</v>
      </c>
      <c r="D132" s="182"/>
      <c r="E132" s="184"/>
      <c r="F132" s="184">
        <v>87796.66</v>
      </c>
      <c r="G132" s="189"/>
    </row>
    <row r="133" spans="2:7" ht="15.75" hidden="1">
      <c r="B133" s="190" t="s">
        <v>361</v>
      </c>
      <c r="C133" s="181" t="s">
        <v>358</v>
      </c>
      <c r="D133" s="182"/>
      <c r="E133" s="184"/>
      <c r="F133" s="184"/>
      <c r="G133" s="189"/>
    </row>
    <row r="134" spans="2:7" ht="15.75" hidden="1">
      <c r="B134" s="190" t="s">
        <v>186</v>
      </c>
      <c r="C134" s="181"/>
      <c r="D134" s="182"/>
      <c r="E134" s="182"/>
      <c r="F134" s="184"/>
      <c r="G134" s="191"/>
    </row>
    <row r="135" spans="2:8" ht="16.5" thickBot="1">
      <c r="B135" s="192" t="s">
        <v>217</v>
      </c>
      <c r="C135" s="181"/>
      <c r="D135" s="182"/>
      <c r="E135" s="193">
        <f>SUM(E14:E134)</f>
        <v>1815188218.73</v>
      </c>
      <c r="F135" s="193">
        <f>SUM(F14:F134)</f>
        <v>1377558494.01</v>
      </c>
      <c r="G135" s="193">
        <f>SUM(G14:G134)</f>
        <v>1778134000</v>
      </c>
      <c r="H135" s="87">
        <f>+G135/4</f>
        <v>444533500</v>
      </c>
    </row>
    <row r="136" spans="2:7" ht="16.5" thickTop="1">
      <c r="B136" s="190"/>
      <c r="C136" s="181"/>
      <c r="D136" s="182"/>
      <c r="E136" s="194"/>
      <c r="F136" s="195"/>
      <c r="G136" s="196"/>
    </row>
    <row r="137" spans="1:10" s="101" customFormat="1" ht="15.75" hidden="1">
      <c r="A137" s="87"/>
      <c r="B137" s="190"/>
      <c r="C137" s="181"/>
      <c r="D137" s="182"/>
      <c r="E137" s="197"/>
      <c r="F137" s="184"/>
      <c r="G137" s="189"/>
      <c r="H137" s="87"/>
      <c r="I137" s="94"/>
      <c r="J137" s="87"/>
    </row>
    <row r="138" spans="1:10" s="101" customFormat="1" ht="15.75" hidden="1">
      <c r="A138" s="87"/>
      <c r="B138" s="198" t="s">
        <v>218</v>
      </c>
      <c r="C138" s="181"/>
      <c r="D138" s="199"/>
      <c r="E138" s="199"/>
      <c r="F138" s="199"/>
      <c r="G138" s="200"/>
      <c r="H138" s="87"/>
      <c r="I138" s="94"/>
      <c r="J138" s="87"/>
    </row>
    <row r="139" spans="1:10" s="101" customFormat="1" ht="15.75" hidden="1">
      <c r="A139" s="87"/>
      <c r="B139" s="201" t="s">
        <v>219</v>
      </c>
      <c r="C139" s="181"/>
      <c r="D139" s="199"/>
      <c r="E139" s="199"/>
      <c r="F139" s="199"/>
      <c r="G139" s="200"/>
      <c r="H139" s="87"/>
      <c r="I139" s="94"/>
      <c r="J139" s="87"/>
    </row>
    <row r="140" spans="1:10" s="101" customFormat="1" ht="15.75" hidden="1">
      <c r="A140" s="87"/>
      <c r="B140" s="201" t="s">
        <v>220</v>
      </c>
      <c r="C140" s="181"/>
      <c r="D140" s="202"/>
      <c r="E140" s="202"/>
      <c r="F140" s="202"/>
      <c r="G140" s="203"/>
      <c r="H140" s="87"/>
      <c r="I140" s="94"/>
      <c r="J140" s="87"/>
    </row>
    <row r="141" spans="1:10" s="101" customFormat="1" ht="15.75" hidden="1">
      <c r="A141" s="87"/>
      <c r="B141" s="204" t="s">
        <v>221</v>
      </c>
      <c r="C141" s="181">
        <v>701</v>
      </c>
      <c r="D141" s="205"/>
      <c r="E141" s="205">
        <v>202157883.27</v>
      </c>
      <c r="F141" s="205">
        <v>109762572.94</v>
      </c>
      <c r="G141" s="206"/>
      <c r="H141" s="87"/>
      <c r="I141" s="94"/>
      <c r="J141" s="87"/>
    </row>
    <row r="142" spans="1:10" s="101" customFormat="1" ht="15.75" hidden="1">
      <c r="A142" s="87"/>
      <c r="B142" s="204" t="s">
        <v>222</v>
      </c>
      <c r="C142" s="181">
        <v>703</v>
      </c>
      <c r="D142" s="205"/>
      <c r="E142" s="205"/>
      <c r="F142" s="205"/>
      <c r="G142" s="206"/>
      <c r="H142" s="87"/>
      <c r="I142" s="94"/>
      <c r="J142" s="87"/>
    </row>
    <row r="143" spans="1:10" s="101" customFormat="1" ht="15.75" hidden="1">
      <c r="A143" s="87"/>
      <c r="B143" s="204" t="s">
        <v>223</v>
      </c>
      <c r="C143" s="181">
        <v>705</v>
      </c>
      <c r="D143" s="205"/>
      <c r="E143" s="205"/>
      <c r="F143" s="207">
        <v>815910</v>
      </c>
      <c r="G143" s="206"/>
      <c r="H143" s="87"/>
      <c r="I143" s="94"/>
      <c r="J143" s="87"/>
    </row>
    <row r="144" spans="1:10" s="101" customFormat="1" ht="15.75" hidden="1">
      <c r="A144" s="87"/>
      <c r="B144" s="204" t="s">
        <v>224</v>
      </c>
      <c r="C144" s="181">
        <v>706</v>
      </c>
      <c r="D144" s="205"/>
      <c r="E144" s="205"/>
      <c r="F144" s="205">
        <v>4326146.68</v>
      </c>
      <c r="G144" s="206"/>
      <c r="H144" s="87"/>
      <c r="I144" s="94"/>
      <c r="J144" s="87"/>
    </row>
    <row r="145" spans="1:10" s="101" customFormat="1" ht="15.75" hidden="1">
      <c r="A145" s="87"/>
      <c r="B145" s="204" t="s">
        <v>225</v>
      </c>
      <c r="C145" s="181">
        <v>711</v>
      </c>
      <c r="D145" s="205"/>
      <c r="E145" s="205">
        <v>20762976.85</v>
      </c>
      <c r="F145" s="205">
        <v>10380111.54</v>
      </c>
      <c r="G145" s="206"/>
      <c r="H145" s="87"/>
      <c r="I145" s="94"/>
      <c r="J145" s="87"/>
    </row>
    <row r="146" spans="1:10" s="101" customFormat="1" ht="15.75" hidden="1">
      <c r="A146" s="87"/>
      <c r="B146" s="204" t="s">
        <v>226</v>
      </c>
      <c r="C146" s="181">
        <v>713</v>
      </c>
      <c r="D146" s="205"/>
      <c r="E146" s="205">
        <v>3456965.59</v>
      </c>
      <c r="F146" s="205">
        <v>2312750</v>
      </c>
      <c r="G146" s="206"/>
      <c r="H146" s="87"/>
      <c r="I146" s="94"/>
      <c r="J146" s="87"/>
    </row>
    <row r="147" spans="1:10" s="101" customFormat="1" ht="15.75" hidden="1">
      <c r="A147" s="87"/>
      <c r="B147" s="204" t="s">
        <v>227</v>
      </c>
      <c r="C147" s="181">
        <v>714</v>
      </c>
      <c r="D147" s="205"/>
      <c r="E147" s="205">
        <v>741707.53</v>
      </c>
      <c r="F147" s="205">
        <v>565000</v>
      </c>
      <c r="G147" s="206"/>
      <c r="H147" s="87"/>
      <c r="I147" s="94"/>
      <c r="J147" s="87"/>
    </row>
    <row r="148" spans="1:10" s="101" customFormat="1" ht="15.75" hidden="1">
      <c r="A148" s="87"/>
      <c r="B148" s="204" t="s">
        <v>228</v>
      </c>
      <c r="C148" s="181">
        <v>715</v>
      </c>
      <c r="D148" s="205"/>
      <c r="E148" s="205">
        <v>3824000</v>
      </c>
      <c r="F148" s="205">
        <v>4613000</v>
      </c>
      <c r="G148" s="206"/>
      <c r="H148" s="87"/>
      <c r="I148" s="94"/>
      <c r="J148" s="87"/>
    </row>
    <row r="149" spans="1:10" s="101" customFormat="1" ht="15.75" hidden="1">
      <c r="A149" s="87"/>
      <c r="B149" s="204" t="s">
        <v>229</v>
      </c>
      <c r="C149" s="181">
        <v>716</v>
      </c>
      <c r="D149" s="205"/>
      <c r="E149" s="205">
        <f>163120.64+1993368.1</f>
        <v>2156488.74</v>
      </c>
      <c r="F149" s="205">
        <f>64124.3+606349.33</f>
        <v>670473.63</v>
      </c>
      <c r="G149" s="206"/>
      <c r="H149" s="87"/>
      <c r="I149" s="94"/>
      <c r="J149" s="87"/>
    </row>
    <row r="150" spans="1:10" s="101" customFormat="1" ht="15.75" hidden="1">
      <c r="A150" s="87"/>
      <c r="B150" s="204" t="s">
        <v>230</v>
      </c>
      <c r="C150" s="181">
        <v>717</v>
      </c>
      <c r="D150" s="205"/>
      <c r="E150" s="205">
        <v>1590000</v>
      </c>
      <c r="F150" s="205">
        <v>3770000</v>
      </c>
      <c r="G150" s="206"/>
      <c r="H150" s="87"/>
      <c r="I150" s="94"/>
      <c r="J150" s="87"/>
    </row>
    <row r="151" spans="1:10" s="101" customFormat="1" ht="15.75" hidden="1">
      <c r="A151" s="87"/>
      <c r="B151" s="204" t="s">
        <v>231</v>
      </c>
      <c r="C151" s="181">
        <v>719</v>
      </c>
      <c r="D151" s="205"/>
      <c r="E151" s="205">
        <v>49601215.87</v>
      </c>
      <c r="F151" s="205">
        <v>22577950.91</v>
      </c>
      <c r="G151" s="206"/>
      <c r="H151" s="87"/>
      <c r="I151" s="94"/>
      <c r="J151" s="87"/>
    </row>
    <row r="152" spans="1:10" s="101" customFormat="1" ht="15.75" hidden="1">
      <c r="A152" s="87"/>
      <c r="B152" s="204" t="s">
        <v>232</v>
      </c>
      <c r="C152" s="181">
        <v>720</v>
      </c>
      <c r="D152" s="205"/>
      <c r="E152" s="205">
        <v>1794900</v>
      </c>
      <c r="F152" s="205">
        <v>294000</v>
      </c>
      <c r="G152" s="206"/>
      <c r="H152" s="87"/>
      <c r="I152" s="94"/>
      <c r="J152" s="87"/>
    </row>
    <row r="153" spans="1:10" s="101" customFormat="1" ht="15.75" hidden="1">
      <c r="A153" s="87"/>
      <c r="B153" s="204" t="s">
        <v>233</v>
      </c>
      <c r="C153" s="181">
        <v>721</v>
      </c>
      <c r="D153" s="205"/>
      <c r="E153" s="205">
        <v>7633899.1</v>
      </c>
      <c r="F153" s="205">
        <v>2695975.02</v>
      </c>
      <c r="G153" s="206"/>
      <c r="H153" s="87"/>
      <c r="I153" s="94"/>
      <c r="J153" s="87"/>
    </row>
    <row r="154" spans="1:10" s="101" customFormat="1" ht="15.75" hidden="1">
      <c r="A154" s="87"/>
      <c r="B154" s="204" t="s">
        <v>234</v>
      </c>
      <c r="C154" s="181">
        <v>723</v>
      </c>
      <c r="D154" s="205"/>
      <c r="E154" s="205"/>
      <c r="F154" s="205"/>
      <c r="G154" s="206"/>
      <c r="H154" s="87"/>
      <c r="I154" s="94"/>
      <c r="J154" s="87"/>
    </row>
    <row r="155" spans="1:10" s="101" customFormat="1" ht="15.75" hidden="1">
      <c r="A155" s="87"/>
      <c r="B155" s="204" t="s">
        <v>235</v>
      </c>
      <c r="C155" s="181">
        <v>724</v>
      </c>
      <c r="D155" s="205"/>
      <c r="E155" s="205">
        <v>4796250</v>
      </c>
      <c r="F155" s="205">
        <v>1940000</v>
      </c>
      <c r="G155" s="206"/>
      <c r="H155" s="87"/>
      <c r="I155" s="94"/>
      <c r="J155" s="87"/>
    </row>
    <row r="156" spans="1:10" s="101" customFormat="1" ht="15.75" hidden="1">
      <c r="A156" s="87"/>
      <c r="B156" s="204" t="s">
        <v>236</v>
      </c>
      <c r="C156" s="181">
        <v>725</v>
      </c>
      <c r="D156" s="205"/>
      <c r="E156" s="205">
        <v>17491240.73</v>
      </c>
      <c r="F156" s="205">
        <v>7938802</v>
      </c>
      <c r="G156" s="206"/>
      <c r="H156" s="87"/>
      <c r="I156" s="94"/>
      <c r="J156" s="87"/>
    </row>
    <row r="157" spans="1:10" s="101" customFormat="1" ht="15.75" hidden="1">
      <c r="A157" s="87"/>
      <c r="B157" s="204" t="s">
        <v>237</v>
      </c>
      <c r="C157" s="181">
        <v>731</v>
      </c>
      <c r="D157" s="205"/>
      <c r="E157" s="205">
        <v>23880275.71</v>
      </c>
      <c r="F157" s="205">
        <v>13051524.62</v>
      </c>
      <c r="G157" s="206"/>
      <c r="H157" s="87"/>
      <c r="I157" s="94"/>
      <c r="J157" s="87"/>
    </row>
    <row r="158" spans="1:10" s="101" customFormat="1" ht="15.75" hidden="1">
      <c r="A158" s="87"/>
      <c r="B158" s="204" t="s">
        <v>238</v>
      </c>
      <c r="C158" s="181">
        <v>732</v>
      </c>
      <c r="D158" s="205"/>
      <c r="E158" s="205">
        <v>3978114.4</v>
      </c>
      <c r="F158" s="205">
        <v>2175253.86</v>
      </c>
      <c r="G158" s="206"/>
      <c r="H158" s="87"/>
      <c r="I158" s="94"/>
      <c r="J158" s="87"/>
    </row>
    <row r="159" spans="1:10" s="101" customFormat="1" ht="15.75" hidden="1">
      <c r="A159" s="87"/>
      <c r="B159" s="204" t="s">
        <v>239</v>
      </c>
      <c r="C159" s="181">
        <v>733</v>
      </c>
      <c r="D159" s="205"/>
      <c r="E159" s="205">
        <v>2238904.14</v>
      </c>
      <c r="F159" s="205">
        <v>1231512.5</v>
      </c>
      <c r="G159" s="206"/>
      <c r="H159" s="87"/>
      <c r="I159" s="94"/>
      <c r="J159" s="87"/>
    </row>
    <row r="160" spans="1:10" s="101" customFormat="1" ht="15.75" hidden="1">
      <c r="A160" s="87"/>
      <c r="B160" s="204" t="s">
        <v>240</v>
      </c>
      <c r="C160" s="181">
        <v>734</v>
      </c>
      <c r="D160" s="205"/>
      <c r="E160" s="205">
        <v>1044920.82</v>
      </c>
      <c r="F160" s="205">
        <v>523439.26</v>
      </c>
      <c r="G160" s="206"/>
      <c r="H160" s="87"/>
      <c r="I160" s="94"/>
      <c r="J160" s="87"/>
    </row>
    <row r="161" spans="1:10" s="101" customFormat="1" ht="15.75" hidden="1">
      <c r="A161" s="87"/>
      <c r="B161" s="204" t="s">
        <v>241</v>
      </c>
      <c r="C161" s="181">
        <v>742</v>
      </c>
      <c r="D161" s="205"/>
      <c r="E161" s="205">
        <v>3013782.21</v>
      </c>
      <c r="F161" s="205">
        <v>3041418.48</v>
      </c>
      <c r="G161" s="206"/>
      <c r="H161" s="87"/>
      <c r="I161" s="94"/>
      <c r="J161" s="87"/>
    </row>
    <row r="162" spans="1:10" s="101" customFormat="1" ht="15.75" hidden="1">
      <c r="A162" s="87"/>
      <c r="B162" s="204" t="s">
        <v>242</v>
      </c>
      <c r="C162" s="181">
        <v>743</v>
      </c>
      <c r="D162" s="205"/>
      <c r="E162" s="205">
        <v>3451740</v>
      </c>
      <c r="F162" s="205"/>
      <c r="G162" s="206"/>
      <c r="H162" s="87"/>
      <c r="I162" s="94"/>
      <c r="J162" s="87"/>
    </row>
    <row r="163" spans="1:10" s="101" customFormat="1" ht="15.75" hidden="1">
      <c r="A163" s="87"/>
      <c r="B163" s="204" t="s">
        <v>243</v>
      </c>
      <c r="C163" s="181">
        <v>749</v>
      </c>
      <c r="D163" s="205"/>
      <c r="E163" s="205">
        <v>10861123.73</v>
      </c>
      <c r="F163" s="205">
        <v>8678446.44</v>
      </c>
      <c r="G163" s="206"/>
      <c r="H163" s="87"/>
      <c r="I163" s="94"/>
      <c r="J163" s="87"/>
    </row>
    <row r="164" spans="1:10" s="101" customFormat="1" ht="15.75" hidden="1">
      <c r="A164" s="87"/>
      <c r="B164" s="204" t="s">
        <v>244</v>
      </c>
      <c r="C164" s="181" t="s">
        <v>245</v>
      </c>
      <c r="D164" s="205"/>
      <c r="E164" s="205">
        <v>795000</v>
      </c>
      <c r="F164" s="205">
        <v>590000</v>
      </c>
      <c r="G164" s="206"/>
      <c r="H164" s="87"/>
      <c r="I164" s="94"/>
      <c r="J164" s="87"/>
    </row>
    <row r="165" spans="1:10" s="101" customFormat="1" ht="15.75" hidden="1">
      <c r="A165" s="87"/>
      <c r="B165" s="204" t="s">
        <v>363</v>
      </c>
      <c r="C165" s="181" t="s">
        <v>364</v>
      </c>
      <c r="D165" s="205"/>
      <c r="E165" s="205"/>
      <c r="F165" s="205">
        <v>2367000</v>
      </c>
      <c r="G165" s="206"/>
      <c r="H165" s="87"/>
      <c r="I165" s="94"/>
      <c r="J165" s="87"/>
    </row>
    <row r="166" spans="1:10" s="101" customFormat="1" ht="15.75" hidden="1">
      <c r="A166" s="87"/>
      <c r="B166" s="201" t="s">
        <v>246</v>
      </c>
      <c r="C166" s="181"/>
      <c r="D166" s="208">
        <f>SUM(D141:D165)</f>
        <v>0</v>
      </c>
      <c r="E166" s="208">
        <f>SUM(E141:E165)</f>
        <v>365271388.69</v>
      </c>
      <c r="F166" s="208">
        <f>SUM(F141:F165)</f>
        <v>204321287.88</v>
      </c>
      <c r="G166" s="209">
        <f>SUM(G141:G165)</f>
        <v>0</v>
      </c>
      <c r="H166" s="87"/>
      <c r="I166" s="94"/>
      <c r="J166" s="87"/>
    </row>
    <row r="167" spans="1:10" s="101" customFormat="1" ht="15.75" hidden="1">
      <c r="A167" s="87"/>
      <c r="B167" s="201"/>
      <c r="C167" s="181"/>
      <c r="D167" s="205"/>
      <c r="E167" s="205"/>
      <c r="F167" s="205"/>
      <c r="G167" s="206"/>
      <c r="H167" s="87"/>
      <c r="I167" s="94"/>
      <c r="J167" s="87"/>
    </row>
    <row r="168" spans="1:10" s="101" customFormat="1" ht="15.75" hidden="1">
      <c r="A168" s="87"/>
      <c r="B168" s="201"/>
      <c r="C168" s="181"/>
      <c r="D168" s="205"/>
      <c r="E168" s="205"/>
      <c r="F168" s="205"/>
      <c r="G168" s="206"/>
      <c r="H168" s="87"/>
      <c r="I168" s="94"/>
      <c r="J168" s="87"/>
    </row>
    <row r="169" spans="1:10" s="101" customFormat="1" ht="15.75" hidden="1">
      <c r="A169" s="87"/>
      <c r="B169" s="201" t="s">
        <v>247</v>
      </c>
      <c r="C169" s="181"/>
      <c r="D169" s="205"/>
      <c r="E169" s="205"/>
      <c r="F169" s="205"/>
      <c r="G169" s="206"/>
      <c r="H169" s="87"/>
      <c r="I169" s="94"/>
      <c r="J169" s="87"/>
    </row>
    <row r="170" spans="1:10" s="101" customFormat="1" ht="15.75" hidden="1">
      <c r="A170" s="87"/>
      <c r="B170" s="204" t="s">
        <v>248</v>
      </c>
      <c r="C170" s="181">
        <v>751</v>
      </c>
      <c r="D170" s="205"/>
      <c r="E170" s="205">
        <v>10858581.94</v>
      </c>
      <c r="F170" s="205">
        <v>4651795.48</v>
      </c>
      <c r="G170" s="206"/>
      <c r="H170" s="87"/>
      <c r="I170" s="94"/>
      <c r="J170" s="87"/>
    </row>
    <row r="171" spans="1:10" s="101" customFormat="1" ht="15.75" hidden="1">
      <c r="A171" s="87"/>
      <c r="B171" s="204" t="s">
        <v>249</v>
      </c>
      <c r="C171" s="181">
        <v>752</v>
      </c>
      <c r="D171" s="205"/>
      <c r="E171" s="205">
        <v>109919.25</v>
      </c>
      <c r="F171" s="205"/>
      <c r="G171" s="206"/>
      <c r="H171" s="87"/>
      <c r="I171" s="94"/>
      <c r="J171" s="87"/>
    </row>
    <row r="172" spans="1:10" s="101" customFormat="1" ht="15.75" hidden="1">
      <c r="A172" s="87"/>
      <c r="B172" s="204" t="s">
        <v>250</v>
      </c>
      <c r="C172" s="181">
        <v>753</v>
      </c>
      <c r="D172" s="205"/>
      <c r="E172" s="205">
        <v>5581179.18</v>
      </c>
      <c r="F172" s="205">
        <v>1017530.7</v>
      </c>
      <c r="G172" s="206"/>
      <c r="H172" s="87"/>
      <c r="I172" s="94"/>
      <c r="J172" s="87"/>
    </row>
    <row r="173" spans="1:10" s="101" customFormat="1" ht="15.75" hidden="1">
      <c r="A173" s="87"/>
      <c r="B173" s="204" t="s">
        <v>251</v>
      </c>
      <c r="C173" s="181">
        <v>755</v>
      </c>
      <c r="D173" s="205"/>
      <c r="E173" s="205">
        <v>11872939.45</v>
      </c>
      <c r="F173" s="205">
        <v>4107689.65</v>
      </c>
      <c r="G173" s="206"/>
      <c r="H173" s="87"/>
      <c r="I173" s="94"/>
      <c r="J173" s="87"/>
    </row>
    <row r="174" spans="1:10" s="101" customFormat="1" ht="15.75" hidden="1">
      <c r="A174" s="87"/>
      <c r="B174" s="204" t="s">
        <v>252</v>
      </c>
      <c r="C174" s="181">
        <v>756</v>
      </c>
      <c r="D174" s="205"/>
      <c r="E174" s="205">
        <v>917325.5</v>
      </c>
      <c r="F174" s="205">
        <v>704627</v>
      </c>
      <c r="G174" s="206"/>
      <c r="H174" s="87"/>
      <c r="I174" s="94"/>
      <c r="J174" s="87"/>
    </row>
    <row r="175" spans="1:10" s="101" customFormat="1" ht="15.75" hidden="1">
      <c r="A175" s="87"/>
      <c r="B175" s="204" t="s">
        <v>253</v>
      </c>
      <c r="C175" s="181">
        <v>757</v>
      </c>
      <c r="D175" s="205"/>
      <c r="E175" s="205">
        <v>562072</v>
      </c>
      <c r="F175" s="205">
        <v>593650</v>
      </c>
      <c r="G175" s="206"/>
      <c r="H175" s="87"/>
      <c r="I175" s="94"/>
      <c r="J175" s="87"/>
    </row>
    <row r="176" spans="1:10" s="101" customFormat="1" ht="15.75" hidden="1">
      <c r="A176" s="87"/>
      <c r="B176" s="204" t="s">
        <v>254</v>
      </c>
      <c r="C176" s="181">
        <v>758</v>
      </c>
      <c r="D176" s="205"/>
      <c r="E176" s="205">
        <v>442972.5</v>
      </c>
      <c r="F176" s="205"/>
      <c r="G176" s="206"/>
      <c r="H176" s="87"/>
      <c r="I176" s="94"/>
      <c r="J176" s="87"/>
    </row>
    <row r="177" spans="1:10" s="101" customFormat="1" ht="15.75" hidden="1">
      <c r="A177" s="87"/>
      <c r="B177" s="204" t="s">
        <v>255</v>
      </c>
      <c r="C177" s="181">
        <v>759</v>
      </c>
      <c r="D177" s="205"/>
      <c r="E177" s="205">
        <v>10455308.95</v>
      </c>
      <c r="F177" s="205">
        <v>6349849</v>
      </c>
      <c r="G177" s="206"/>
      <c r="H177" s="87"/>
      <c r="I177" s="94"/>
      <c r="J177" s="87"/>
    </row>
    <row r="178" spans="1:10" s="101" customFormat="1" ht="15.75" hidden="1">
      <c r="A178" s="87"/>
      <c r="B178" s="204" t="s">
        <v>256</v>
      </c>
      <c r="C178" s="181">
        <v>760</v>
      </c>
      <c r="D178" s="205"/>
      <c r="E178" s="205">
        <v>3951419.8</v>
      </c>
      <c r="F178" s="205">
        <v>303606</v>
      </c>
      <c r="G178" s="206"/>
      <c r="H178" s="87"/>
      <c r="I178" s="94"/>
      <c r="J178" s="87"/>
    </row>
    <row r="179" spans="1:10" s="101" customFormat="1" ht="15.75" hidden="1">
      <c r="A179" s="87"/>
      <c r="B179" s="204" t="s">
        <v>257</v>
      </c>
      <c r="C179" s="181">
        <v>761</v>
      </c>
      <c r="D179" s="205"/>
      <c r="E179" s="205">
        <v>73915430.24</v>
      </c>
      <c r="F179" s="205">
        <v>36667841.32</v>
      </c>
      <c r="G179" s="206"/>
      <c r="H179" s="87"/>
      <c r="I179" s="94"/>
      <c r="J179" s="87"/>
    </row>
    <row r="180" spans="1:10" s="101" customFormat="1" ht="15.75" hidden="1">
      <c r="A180" s="87"/>
      <c r="B180" s="204" t="s">
        <v>258</v>
      </c>
      <c r="C180" s="181">
        <v>762</v>
      </c>
      <c r="D180" s="205"/>
      <c r="E180" s="205">
        <v>757994.75</v>
      </c>
      <c r="F180" s="205">
        <v>236045</v>
      </c>
      <c r="G180" s="206"/>
      <c r="H180" s="87"/>
      <c r="I180" s="94"/>
      <c r="J180" s="87"/>
    </row>
    <row r="181" spans="1:10" s="101" customFormat="1" ht="15.75" hidden="1">
      <c r="A181" s="87"/>
      <c r="B181" s="204" t="s">
        <v>259</v>
      </c>
      <c r="C181" s="181">
        <v>763</v>
      </c>
      <c r="D181" s="205"/>
      <c r="E181" s="205"/>
      <c r="F181" s="205"/>
      <c r="G181" s="206"/>
      <c r="H181" s="87"/>
      <c r="I181" s="94"/>
      <c r="J181" s="87"/>
    </row>
    <row r="182" spans="1:10" s="101" customFormat="1" ht="15.75" hidden="1">
      <c r="A182" s="87"/>
      <c r="B182" s="204" t="s">
        <v>260</v>
      </c>
      <c r="C182" s="181">
        <v>765</v>
      </c>
      <c r="D182" s="205"/>
      <c r="E182" s="205">
        <v>21034544.92</v>
      </c>
      <c r="F182" s="205">
        <v>6150852.66</v>
      </c>
      <c r="G182" s="206"/>
      <c r="H182" s="87"/>
      <c r="I182" s="94"/>
      <c r="J182" s="87"/>
    </row>
    <row r="183" spans="1:10" s="101" customFormat="1" ht="15.75" hidden="1">
      <c r="A183" s="87"/>
      <c r="B183" s="204" t="s">
        <v>261</v>
      </c>
      <c r="C183" s="181">
        <v>766</v>
      </c>
      <c r="D183" s="205"/>
      <c r="E183" s="205">
        <v>6869135.07</v>
      </c>
      <c r="F183" s="205">
        <v>2030937.48</v>
      </c>
      <c r="G183" s="206"/>
      <c r="H183" s="87"/>
      <c r="I183" s="94"/>
      <c r="J183" s="87"/>
    </row>
    <row r="184" spans="1:10" s="101" customFormat="1" ht="15.75" hidden="1">
      <c r="A184" s="87"/>
      <c r="B184" s="204" t="s">
        <v>262</v>
      </c>
      <c r="C184" s="181">
        <v>767</v>
      </c>
      <c r="D184" s="205"/>
      <c r="E184" s="205">
        <v>65664314.76</v>
      </c>
      <c r="F184" s="205">
        <v>18385464.38</v>
      </c>
      <c r="G184" s="206"/>
      <c r="H184" s="87"/>
      <c r="I184" s="94"/>
      <c r="J184" s="87"/>
    </row>
    <row r="185" spans="1:10" s="101" customFormat="1" ht="15.75" hidden="1">
      <c r="A185" s="87"/>
      <c r="B185" s="204" t="s">
        <v>263</v>
      </c>
      <c r="C185" s="181">
        <v>771</v>
      </c>
      <c r="D185" s="205"/>
      <c r="E185" s="205">
        <v>30072.15</v>
      </c>
      <c r="F185" s="205">
        <v>1500</v>
      </c>
      <c r="G185" s="206"/>
      <c r="H185" s="87"/>
      <c r="I185" s="94"/>
      <c r="J185" s="87"/>
    </row>
    <row r="186" spans="1:10" s="101" customFormat="1" ht="15.75" hidden="1">
      <c r="A186" s="87"/>
      <c r="B186" s="204" t="s">
        <v>264</v>
      </c>
      <c r="C186" s="181">
        <v>772</v>
      </c>
      <c r="D186" s="205"/>
      <c r="E186" s="205">
        <v>1933985.5</v>
      </c>
      <c r="F186" s="205">
        <v>631300.49</v>
      </c>
      <c r="G186" s="206"/>
      <c r="H186" s="87"/>
      <c r="I186" s="94"/>
      <c r="J186" s="87"/>
    </row>
    <row r="187" spans="1:10" s="101" customFormat="1" ht="15.75" hidden="1">
      <c r="A187" s="87"/>
      <c r="B187" s="204" t="s">
        <v>265</v>
      </c>
      <c r="C187" s="181">
        <v>773</v>
      </c>
      <c r="D187" s="205"/>
      <c r="E187" s="205">
        <v>1112285.42</v>
      </c>
      <c r="F187" s="205">
        <v>502213.94</v>
      </c>
      <c r="G187" s="206"/>
      <c r="H187" s="87"/>
      <c r="I187" s="94"/>
      <c r="J187" s="87"/>
    </row>
    <row r="188" spans="1:10" s="101" customFormat="1" ht="15.75" hidden="1">
      <c r="A188" s="87"/>
      <c r="B188" s="204" t="s">
        <v>266</v>
      </c>
      <c r="C188" s="181">
        <v>774</v>
      </c>
      <c r="D188" s="205"/>
      <c r="E188" s="205">
        <v>298883.23</v>
      </c>
      <c r="F188" s="205">
        <v>89504.46</v>
      </c>
      <c r="G188" s="206"/>
      <c r="H188" s="87"/>
      <c r="I188" s="94"/>
      <c r="J188" s="87"/>
    </row>
    <row r="189" spans="1:10" s="101" customFormat="1" ht="15.75" hidden="1">
      <c r="A189" s="87"/>
      <c r="B189" s="204" t="s">
        <v>267</v>
      </c>
      <c r="C189" s="181">
        <v>775</v>
      </c>
      <c r="D189" s="205"/>
      <c r="E189" s="205"/>
      <c r="F189" s="205"/>
      <c r="G189" s="206"/>
      <c r="H189" s="87"/>
      <c r="I189" s="94"/>
      <c r="J189" s="87"/>
    </row>
    <row r="190" spans="1:10" s="101" customFormat="1" ht="15.75" hidden="1">
      <c r="A190" s="87"/>
      <c r="B190" s="204" t="s">
        <v>268</v>
      </c>
      <c r="C190" s="181">
        <v>778</v>
      </c>
      <c r="D190" s="205"/>
      <c r="E190" s="205"/>
      <c r="F190" s="205"/>
      <c r="G190" s="206"/>
      <c r="H190" s="87"/>
      <c r="I190" s="94"/>
      <c r="J190" s="87"/>
    </row>
    <row r="191" spans="1:10" s="101" customFormat="1" ht="15.75" hidden="1">
      <c r="A191" s="87"/>
      <c r="B191" s="204" t="s">
        <v>269</v>
      </c>
      <c r="C191" s="181">
        <v>780</v>
      </c>
      <c r="D191" s="205"/>
      <c r="E191" s="205">
        <v>9087088.33</v>
      </c>
      <c r="F191" s="205">
        <v>3061400.15</v>
      </c>
      <c r="G191" s="206"/>
      <c r="H191" s="87"/>
      <c r="I191" s="94"/>
      <c r="J191" s="87"/>
    </row>
    <row r="192" spans="1:10" s="101" customFormat="1" ht="15.75" hidden="1">
      <c r="A192" s="87"/>
      <c r="B192" s="204" t="s">
        <v>270</v>
      </c>
      <c r="C192" s="181">
        <v>781</v>
      </c>
      <c r="D192" s="205"/>
      <c r="E192" s="205">
        <v>3431632.26</v>
      </c>
      <c r="F192" s="205">
        <v>1680234.5</v>
      </c>
      <c r="G192" s="206"/>
      <c r="H192" s="87"/>
      <c r="I192" s="94"/>
      <c r="J192" s="87"/>
    </row>
    <row r="193" spans="1:10" s="101" customFormat="1" ht="15.75" hidden="1">
      <c r="A193" s="87"/>
      <c r="B193" s="204" t="s">
        <v>271</v>
      </c>
      <c r="C193" s="181">
        <v>782</v>
      </c>
      <c r="D193" s="205"/>
      <c r="E193" s="205">
        <v>2300701.84</v>
      </c>
      <c r="F193" s="205">
        <v>1595342.91</v>
      </c>
      <c r="G193" s="206"/>
      <c r="H193" s="87"/>
      <c r="I193" s="94"/>
      <c r="J193" s="87"/>
    </row>
    <row r="194" spans="1:10" s="101" customFormat="1" ht="15.75" hidden="1">
      <c r="A194" s="87"/>
      <c r="B194" s="204" t="s">
        <v>272</v>
      </c>
      <c r="C194" s="181">
        <v>783</v>
      </c>
      <c r="D194" s="205"/>
      <c r="E194" s="205">
        <v>4214151.58</v>
      </c>
      <c r="F194" s="205">
        <v>4074801.76</v>
      </c>
      <c r="G194" s="206"/>
      <c r="H194" s="87"/>
      <c r="I194" s="94"/>
      <c r="J194" s="87"/>
    </row>
    <row r="195" spans="1:10" s="101" customFormat="1" ht="15.75" hidden="1">
      <c r="A195" s="87"/>
      <c r="B195" s="204" t="s">
        <v>273</v>
      </c>
      <c r="C195" s="181">
        <v>784</v>
      </c>
      <c r="D195" s="205"/>
      <c r="E195" s="205">
        <v>29552.35</v>
      </c>
      <c r="F195" s="205"/>
      <c r="G195" s="206"/>
      <c r="H195" s="87"/>
      <c r="I195" s="94"/>
      <c r="J195" s="87"/>
    </row>
    <row r="196" spans="1:10" s="101" customFormat="1" ht="15.75" hidden="1">
      <c r="A196" s="87"/>
      <c r="B196" s="204" t="s">
        <v>274</v>
      </c>
      <c r="C196" s="181">
        <v>786</v>
      </c>
      <c r="D196" s="205"/>
      <c r="E196" s="205">
        <v>373400</v>
      </c>
      <c r="F196" s="205">
        <v>233559</v>
      </c>
      <c r="G196" s="206"/>
      <c r="H196" s="87"/>
      <c r="I196" s="94"/>
      <c r="J196" s="87"/>
    </row>
    <row r="197" spans="1:10" s="101" customFormat="1" ht="15.75" hidden="1">
      <c r="A197" s="87"/>
      <c r="B197" s="204" t="s">
        <v>275</v>
      </c>
      <c r="C197" s="181">
        <v>787</v>
      </c>
      <c r="D197" s="205"/>
      <c r="E197" s="205"/>
      <c r="F197" s="205"/>
      <c r="G197" s="206"/>
      <c r="H197" s="87"/>
      <c r="I197" s="94"/>
      <c r="J197" s="87"/>
    </row>
    <row r="198" spans="1:10" s="101" customFormat="1" ht="15.75" hidden="1">
      <c r="A198" s="87"/>
      <c r="B198" s="204" t="s">
        <v>276</v>
      </c>
      <c r="C198" s="181">
        <v>791</v>
      </c>
      <c r="D198" s="205"/>
      <c r="E198" s="205"/>
      <c r="F198" s="205"/>
      <c r="G198" s="206"/>
      <c r="H198" s="87"/>
      <c r="I198" s="94"/>
      <c r="J198" s="87"/>
    </row>
    <row r="199" spans="1:10" s="101" customFormat="1" ht="15.75" hidden="1">
      <c r="A199" s="87"/>
      <c r="B199" s="204" t="s">
        <v>365</v>
      </c>
      <c r="C199" s="181">
        <v>792</v>
      </c>
      <c r="D199" s="205"/>
      <c r="E199" s="205">
        <v>174720</v>
      </c>
      <c r="F199" s="205"/>
      <c r="G199" s="206"/>
      <c r="H199" s="87"/>
      <c r="I199" s="94"/>
      <c r="J199" s="87"/>
    </row>
    <row r="200" spans="1:10" s="101" customFormat="1" ht="15.75" hidden="1">
      <c r="A200" s="87"/>
      <c r="B200" s="204" t="s">
        <v>277</v>
      </c>
      <c r="C200" s="181">
        <v>793</v>
      </c>
      <c r="D200" s="205"/>
      <c r="E200" s="205">
        <v>679129.99</v>
      </c>
      <c r="F200" s="205">
        <v>416666.65</v>
      </c>
      <c r="G200" s="206"/>
      <c r="H200" s="87"/>
      <c r="I200" s="94"/>
      <c r="J200" s="87"/>
    </row>
    <row r="201" spans="1:10" s="101" customFormat="1" ht="15.75" hidden="1">
      <c r="A201" s="87"/>
      <c r="B201" s="188" t="s">
        <v>278</v>
      </c>
      <c r="C201" s="181">
        <v>795</v>
      </c>
      <c r="D201" s="205"/>
      <c r="E201" s="205">
        <v>218797115.21</v>
      </c>
      <c r="F201" s="205">
        <v>114214232.9</v>
      </c>
      <c r="G201" s="206"/>
      <c r="H201" s="87"/>
      <c r="I201" s="94"/>
      <c r="J201" s="87"/>
    </row>
    <row r="202" spans="1:10" s="101" customFormat="1" ht="15.75" hidden="1">
      <c r="A202" s="87"/>
      <c r="B202" s="188" t="s">
        <v>279</v>
      </c>
      <c r="C202" s="181">
        <v>799</v>
      </c>
      <c r="D202" s="205"/>
      <c r="E202" s="205">
        <v>5599666</v>
      </c>
      <c r="F202" s="205">
        <v>56000</v>
      </c>
      <c r="G202" s="206"/>
      <c r="H202" s="87"/>
      <c r="I202" s="94"/>
      <c r="J202" s="87"/>
    </row>
    <row r="203" spans="1:10" s="101" customFormat="1" ht="15.75" hidden="1">
      <c r="A203" s="87"/>
      <c r="B203" s="188" t="s">
        <v>280</v>
      </c>
      <c r="C203" s="181">
        <v>802</v>
      </c>
      <c r="D203" s="205"/>
      <c r="E203" s="205"/>
      <c r="F203" s="205"/>
      <c r="G203" s="206"/>
      <c r="H203" s="87"/>
      <c r="I203" s="94"/>
      <c r="J203" s="87"/>
    </row>
    <row r="204" spans="1:10" s="101" customFormat="1" ht="15.75" hidden="1">
      <c r="A204" s="87"/>
      <c r="B204" s="188" t="s">
        <v>281</v>
      </c>
      <c r="C204" s="181">
        <v>805</v>
      </c>
      <c r="D204" s="205"/>
      <c r="E204" s="205"/>
      <c r="F204" s="205"/>
      <c r="G204" s="206"/>
      <c r="H204" s="87"/>
      <c r="I204" s="94"/>
      <c r="J204" s="87"/>
    </row>
    <row r="205" spans="1:10" s="101" customFormat="1" ht="15.75" hidden="1">
      <c r="A205" s="87"/>
      <c r="B205" s="188" t="s">
        <v>282</v>
      </c>
      <c r="C205" s="181">
        <v>811</v>
      </c>
      <c r="D205" s="205"/>
      <c r="E205" s="205">
        <v>879649.58</v>
      </c>
      <c r="F205" s="205">
        <v>63000</v>
      </c>
      <c r="G205" s="206"/>
      <c r="H205" s="87"/>
      <c r="I205" s="94"/>
      <c r="J205" s="87"/>
    </row>
    <row r="206" spans="1:10" s="101" customFormat="1" ht="15.75" hidden="1">
      <c r="A206" s="87"/>
      <c r="B206" s="188" t="s">
        <v>283</v>
      </c>
      <c r="C206" s="181">
        <v>812</v>
      </c>
      <c r="D206" s="205"/>
      <c r="E206" s="205">
        <v>236097</v>
      </c>
      <c r="F206" s="205"/>
      <c r="G206" s="206"/>
      <c r="H206" s="87"/>
      <c r="I206" s="94"/>
      <c r="J206" s="87"/>
    </row>
    <row r="207" spans="1:10" s="101" customFormat="1" ht="15.75" hidden="1">
      <c r="A207" s="87"/>
      <c r="B207" s="188" t="s">
        <v>284</v>
      </c>
      <c r="C207" s="181">
        <v>813</v>
      </c>
      <c r="D207" s="205"/>
      <c r="E207" s="205">
        <v>373500</v>
      </c>
      <c r="F207" s="205"/>
      <c r="G207" s="206"/>
      <c r="H207" s="87"/>
      <c r="I207" s="94"/>
      <c r="J207" s="87"/>
    </row>
    <row r="208" spans="1:10" s="101" customFormat="1" ht="15.75" hidden="1">
      <c r="A208" s="87"/>
      <c r="B208" s="188" t="s">
        <v>285</v>
      </c>
      <c r="C208" s="181">
        <v>814</v>
      </c>
      <c r="D208" s="205"/>
      <c r="E208" s="205">
        <v>72000</v>
      </c>
      <c r="F208" s="205">
        <v>17100</v>
      </c>
      <c r="G208" s="206"/>
      <c r="H208" s="87"/>
      <c r="I208" s="94"/>
      <c r="J208" s="87"/>
    </row>
    <row r="209" spans="1:10" s="101" customFormat="1" ht="15.75" hidden="1">
      <c r="A209" s="87"/>
      <c r="B209" s="188" t="s">
        <v>286</v>
      </c>
      <c r="C209" s="181">
        <v>815</v>
      </c>
      <c r="D209" s="205"/>
      <c r="E209" s="205">
        <v>2808473</v>
      </c>
      <c r="F209" s="205">
        <v>34342</v>
      </c>
      <c r="G209" s="206"/>
      <c r="H209" s="87"/>
      <c r="I209" s="94"/>
      <c r="J209" s="87"/>
    </row>
    <row r="210" spans="1:10" s="101" customFormat="1" ht="15.75" hidden="1">
      <c r="A210" s="87"/>
      <c r="B210" s="188" t="s">
        <v>287</v>
      </c>
      <c r="C210" s="181">
        <v>816</v>
      </c>
      <c r="D210" s="205"/>
      <c r="E210" s="205"/>
      <c r="F210" s="205"/>
      <c r="G210" s="206"/>
      <c r="H210" s="87"/>
      <c r="I210" s="94"/>
      <c r="J210" s="87"/>
    </row>
    <row r="211" spans="1:10" s="101" customFormat="1" ht="15.75" hidden="1">
      <c r="A211" s="87"/>
      <c r="B211" s="188" t="s">
        <v>288</v>
      </c>
      <c r="C211" s="181">
        <v>821</v>
      </c>
      <c r="D211" s="205"/>
      <c r="E211" s="205">
        <v>461722.5</v>
      </c>
      <c r="F211" s="205">
        <v>165246.5</v>
      </c>
      <c r="G211" s="206"/>
      <c r="H211" s="87"/>
      <c r="I211" s="94"/>
      <c r="J211" s="87"/>
    </row>
    <row r="212" spans="1:10" s="101" customFormat="1" ht="15.75" hidden="1">
      <c r="A212" s="87"/>
      <c r="B212" s="188" t="s">
        <v>289</v>
      </c>
      <c r="C212" s="181">
        <v>822</v>
      </c>
      <c r="D212" s="205"/>
      <c r="E212" s="205"/>
      <c r="F212" s="205"/>
      <c r="G212" s="206"/>
      <c r="H212" s="87"/>
      <c r="I212" s="94"/>
      <c r="J212" s="87"/>
    </row>
    <row r="213" spans="1:10" s="101" customFormat="1" ht="15.75" hidden="1">
      <c r="A213" s="87"/>
      <c r="B213" s="188" t="s">
        <v>290</v>
      </c>
      <c r="C213" s="181">
        <v>823</v>
      </c>
      <c r="D213" s="205"/>
      <c r="E213" s="205">
        <v>238980</v>
      </c>
      <c r="F213" s="205">
        <v>72962</v>
      </c>
      <c r="G213" s="206"/>
      <c r="H213" s="87"/>
      <c r="I213" s="94"/>
      <c r="J213" s="87"/>
    </row>
    <row r="214" spans="1:10" s="101" customFormat="1" ht="15.75" hidden="1">
      <c r="A214" s="87"/>
      <c r="B214" s="188" t="s">
        <v>291</v>
      </c>
      <c r="C214" s="181">
        <v>827</v>
      </c>
      <c r="D214" s="205"/>
      <c r="E214" s="205">
        <v>48070.25</v>
      </c>
      <c r="F214" s="205"/>
      <c r="G214" s="206"/>
      <c r="H214" s="87"/>
      <c r="I214" s="94"/>
      <c r="J214" s="87"/>
    </row>
    <row r="215" spans="1:10" s="101" customFormat="1" ht="15.75" hidden="1">
      <c r="A215" s="87"/>
      <c r="B215" s="188" t="s">
        <v>292</v>
      </c>
      <c r="C215" s="181">
        <v>829</v>
      </c>
      <c r="D215" s="205"/>
      <c r="E215" s="205"/>
      <c r="F215" s="205"/>
      <c r="G215" s="206"/>
      <c r="H215" s="87"/>
      <c r="I215" s="94"/>
      <c r="J215" s="87"/>
    </row>
    <row r="216" spans="1:10" s="101" customFormat="1" ht="15.75" hidden="1">
      <c r="A216" s="87"/>
      <c r="B216" s="188" t="s">
        <v>293</v>
      </c>
      <c r="C216" s="181">
        <v>831</v>
      </c>
      <c r="D216" s="205"/>
      <c r="E216" s="205"/>
      <c r="F216" s="205"/>
      <c r="G216" s="206"/>
      <c r="H216" s="87"/>
      <c r="I216" s="94"/>
      <c r="J216" s="87"/>
    </row>
    <row r="217" spans="1:10" s="101" customFormat="1" ht="15.75" hidden="1">
      <c r="A217" s="87"/>
      <c r="B217" s="188" t="s">
        <v>294</v>
      </c>
      <c r="C217" s="181">
        <v>833</v>
      </c>
      <c r="D217" s="205"/>
      <c r="E217" s="205"/>
      <c r="F217" s="205"/>
      <c r="G217" s="206"/>
      <c r="H217" s="87"/>
      <c r="I217" s="94"/>
      <c r="J217" s="87"/>
    </row>
    <row r="218" spans="1:10" s="101" customFormat="1" ht="15.75" hidden="1">
      <c r="A218" s="87"/>
      <c r="B218" s="188" t="s">
        <v>295</v>
      </c>
      <c r="C218" s="181">
        <v>836</v>
      </c>
      <c r="D218" s="205"/>
      <c r="E218" s="205">
        <v>50000</v>
      </c>
      <c r="F218" s="205"/>
      <c r="G218" s="206"/>
      <c r="H218" s="87"/>
      <c r="I218" s="94"/>
      <c r="J218" s="87"/>
    </row>
    <row r="219" spans="1:10" s="101" customFormat="1" ht="15.75" hidden="1">
      <c r="A219" s="87"/>
      <c r="B219" s="188" t="s">
        <v>296</v>
      </c>
      <c r="C219" s="181">
        <v>840</v>
      </c>
      <c r="D219" s="205"/>
      <c r="E219" s="205">
        <v>712809</v>
      </c>
      <c r="F219" s="205">
        <v>139573.5</v>
      </c>
      <c r="G219" s="206"/>
      <c r="H219" s="87"/>
      <c r="I219" s="94"/>
      <c r="J219" s="87"/>
    </row>
    <row r="220" spans="1:10" s="101" customFormat="1" ht="15.75" hidden="1">
      <c r="A220" s="87"/>
      <c r="B220" s="188" t="s">
        <v>297</v>
      </c>
      <c r="C220" s="181">
        <v>841</v>
      </c>
      <c r="D220" s="205"/>
      <c r="E220" s="205">
        <v>17848561.02</v>
      </c>
      <c r="F220" s="205">
        <v>6873059</v>
      </c>
      <c r="G220" s="206"/>
      <c r="H220" s="87"/>
      <c r="I220" s="94"/>
      <c r="J220" s="87"/>
    </row>
    <row r="221" spans="1:10" s="101" customFormat="1" ht="15.75" hidden="1">
      <c r="A221" s="87"/>
      <c r="B221" s="188" t="s">
        <v>298</v>
      </c>
      <c r="C221" s="181">
        <v>844</v>
      </c>
      <c r="D221" s="205"/>
      <c r="E221" s="205">
        <v>531451.8</v>
      </c>
      <c r="F221" s="205"/>
      <c r="G221" s="206"/>
      <c r="H221" s="87"/>
      <c r="I221" s="94"/>
      <c r="J221" s="87"/>
    </row>
    <row r="222" spans="1:10" s="101" customFormat="1" ht="15.75" hidden="1">
      <c r="A222" s="87"/>
      <c r="B222" s="188" t="s">
        <v>299</v>
      </c>
      <c r="C222" s="181">
        <v>850</v>
      </c>
      <c r="D222" s="205"/>
      <c r="E222" s="205">
        <v>95490</v>
      </c>
      <c r="F222" s="205"/>
      <c r="G222" s="206"/>
      <c r="H222" s="87"/>
      <c r="I222" s="94"/>
      <c r="J222" s="87"/>
    </row>
    <row r="223" spans="1:10" s="101" customFormat="1" ht="15.75" hidden="1">
      <c r="A223" s="87"/>
      <c r="B223" s="188" t="s">
        <v>300</v>
      </c>
      <c r="C223" s="181">
        <v>851</v>
      </c>
      <c r="D223" s="205"/>
      <c r="E223" s="205"/>
      <c r="F223" s="205"/>
      <c r="G223" s="206"/>
      <c r="H223" s="87"/>
      <c r="I223" s="94"/>
      <c r="J223" s="87"/>
    </row>
    <row r="224" spans="1:10" s="101" customFormat="1" ht="15.75" hidden="1">
      <c r="A224" s="87"/>
      <c r="B224" s="188" t="s">
        <v>301</v>
      </c>
      <c r="C224" s="181">
        <v>854</v>
      </c>
      <c r="D224" s="205"/>
      <c r="E224" s="205">
        <v>179506</v>
      </c>
      <c r="F224" s="205">
        <v>21781</v>
      </c>
      <c r="G224" s="206"/>
      <c r="H224" s="87"/>
      <c r="I224" s="94"/>
      <c r="J224" s="87"/>
    </row>
    <row r="225" spans="1:10" s="101" customFormat="1" ht="15.75" hidden="1">
      <c r="A225" s="87"/>
      <c r="B225" s="188" t="s">
        <v>302</v>
      </c>
      <c r="C225" s="181">
        <v>855</v>
      </c>
      <c r="D225" s="205"/>
      <c r="E225" s="205"/>
      <c r="F225" s="205"/>
      <c r="G225" s="206"/>
      <c r="H225" s="87"/>
      <c r="I225" s="94"/>
      <c r="J225" s="87"/>
    </row>
    <row r="226" spans="1:10" s="101" customFormat="1" ht="15.75" hidden="1">
      <c r="A226" s="87"/>
      <c r="B226" s="188" t="s">
        <v>366</v>
      </c>
      <c r="C226" s="181">
        <v>856</v>
      </c>
      <c r="D226" s="205"/>
      <c r="E226" s="205"/>
      <c r="F226" s="205">
        <v>179575</v>
      </c>
      <c r="G226" s="206"/>
      <c r="H226" s="87"/>
      <c r="I226" s="94"/>
      <c r="J226" s="87"/>
    </row>
    <row r="227" spans="1:10" s="101" customFormat="1" ht="15.75" hidden="1">
      <c r="A227" s="87"/>
      <c r="B227" s="188" t="s">
        <v>303</v>
      </c>
      <c r="C227" s="181">
        <v>857</v>
      </c>
      <c r="D227" s="205"/>
      <c r="E227" s="205"/>
      <c r="F227" s="205"/>
      <c r="G227" s="206"/>
      <c r="H227" s="87"/>
      <c r="I227" s="94"/>
      <c r="J227" s="87"/>
    </row>
    <row r="228" spans="1:10" s="101" customFormat="1" ht="15.75" hidden="1">
      <c r="A228" s="87"/>
      <c r="B228" s="188" t="s">
        <v>304</v>
      </c>
      <c r="C228" s="181">
        <v>860</v>
      </c>
      <c r="D228" s="205"/>
      <c r="E228" s="205">
        <v>362064.2</v>
      </c>
      <c r="F228" s="205">
        <v>117232</v>
      </c>
      <c r="G228" s="206"/>
      <c r="H228" s="87"/>
      <c r="I228" s="94"/>
      <c r="J228" s="87"/>
    </row>
    <row r="229" spans="1:10" s="101" customFormat="1" ht="15.75" hidden="1">
      <c r="A229" s="87"/>
      <c r="B229" s="188" t="s">
        <v>305</v>
      </c>
      <c r="C229" s="181">
        <v>876</v>
      </c>
      <c r="D229" s="205"/>
      <c r="E229" s="205">
        <v>4200000</v>
      </c>
      <c r="F229" s="205"/>
      <c r="G229" s="206"/>
      <c r="H229" s="87"/>
      <c r="I229" s="94"/>
      <c r="J229" s="87"/>
    </row>
    <row r="230" spans="1:10" s="101" customFormat="1" ht="15.75" hidden="1">
      <c r="A230" s="87"/>
      <c r="B230" s="188" t="s">
        <v>367</v>
      </c>
      <c r="C230" s="181">
        <v>877</v>
      </c>
      <c r="D230" s="205"/>
      <c r="E230" s="205"/>
      <c r="F230" s="205">
        <v>32446110.85</v>
      </c>
      <c r="G230" s="206"/>
      <c r="H230" s="87"/>
      <c r="I230" s="94"/>
      <c r="J230" s="87"/>
    </row>
    <row r="231" spans="1:10" s="101" customFormat="1" ht="15.75" hidden="1">
      <c r="A231" s="87"/>
      <c r="B231" s="188" t="s">
        <v>306</v>
      </c>
      <c r="C231" s="181">
        <v>878</v>
      </c>
      <c r="D231" s="205"/>
      <c r="E231" s="205">
        <v>152905911.82</v>
      </c>
      <c r="F231" s="205">
        <v>79234284.92</v>
      </c>
      <c r="G231" s="206"/>
      <c r="H231" s="87"/>
      <c r="I231" s="94"/>
      <c r="J231" s="87"/>
    </row>
    <row r="232" spans="1:10" s="101" customFormat="1" ht="15.75" hidden="1">
      <c r="A232" s="87"/>
      <c r="B232" s="188" t="s">
        <v>307</v>
      </c>
      <c r="C232" s="181">
        <v>881</v>
      </c>
      <c r="D232" s="205"/>
      <c r="E232" s="205">
        <v>1440000</v>
      </c>
      <c r="F232" s="205">
        <v>780000</v>
      </c>
      <c r="G232" s="206"/>
      <c r="H232" s="87"/>
      <c r="I232" s="94"/>
      <c r="J232" s="87"/>
    </row>
    <row r="233" spans="1:10" s="101" customFormat="1" ht="15.75" hidden="1">
      <c r="A233" s="87"/>
      <c r="B233" s="188" t="s">
        <v>308</v>
      </c>
      <c r="C233" s="181">
        <v>882</v>
      </c>
      <c r="D233" s="205"/>
      <c r="E233" s="205"/>
      <c r="F233" s="205"/>
      <c r="G233" s="206"/>
      <c r="H233" s="87"/>
      <c r="I233" s="94"/>
      <c r="J233" s="87"/>
    </row>
    <row r="234" spans="1:10" s="101" customFormat="1" ht="15.75" hidden="1">
      <c r="A234" s="87"/>
      <c r="B234" s="188" t="s">
        <v>309</v>
      </c>
      <c r="C234" s="181">
        <v>891</v>
      </c>
      <c r="D234" s="205"/>
      <c r="E234" s="205">
        <v>65477.65</v>
      </c>
      <c r="F234" s="205">
        <v>35765.94</v>
      </c>
      <c r="G234" s="206"/>
      <c r="H234" s="87"/>
      <c r="I234" s="94"/>
      <c r="J234" s="87"/>
    </row>
    <row r="235" spans="1:10" s="101" customFormat="1" ht="15.75" hidden="1">
      <c r="A235" s="87"/>
      <c r="B235" s="188" t="s">
        <v>310</v>
      </c>
      <c r="C235" s="181">
        <v>892</v>
      </c>
      <c r="D235" s="205"/>
      <c r="E235" s="205">
        <v>306250</v>
      </c>
      <c r="F235" s="205">
        <v>470646</v>
      </c>
      <c r="G235" s="206"/>
      <c r="H235" s="87"/>
      <c r="I235" s="94"/>
      <c r="J235" s="87"/>
    </row>
    <row r="236" spans="1:10" s="101" customFormat="1" ht="15.75" hidden="1">
      <c r="A236" s="87"/>
      <c r="B236" s="188" t="s">
        <v>311</v>
      </c>
      <c r="C236" s="181">
        <v>893</v>
      </c>
      <c r="D236" s="205"/>
      <c r="E236" s="205">
        <v>2501999.66</v>
      </c>
      <c r="F236" s="205">
        <v>661732.07</v>
      </c>
      <c r="G236" s="206"/>
      <c r="H236" s="87"/>
      <c r="I236" s="94"/>
      <c r="J236" s="87"/>
    </row>
    <row r="237" spans="1:10" s="101" customFormat="1" ht="15.75" hidden="1">
      <c r="A237" s="87"/>
      <c r="B237" s="188" t="s">
        <v>312</v>
      </c>
      <c r="C237" s="181">
        <v>902</v>
      </c>
      <c r="D237" s="205"/>
      <c r="E237" s="205">
        <v>32047870.8</v>
      </c>
      <c r="F237" s="205">
        <v>15480896.77</v>
      </c>
      <c r="G237" s="206"/>
      <c r="H237" s="87"/>
      <c r="I237" s="94"/>
      <c r="J237" s="87"/>
    </row>
    <row r="238" spans="1:10" s="101" customFormat="1" ht="15.75" hidden="1">
      <c r="A238" s="87"/>
      <c r="B238" s="188" t="s">
        <v>313</v>
      </c>
      <c r="C238" s="181">
        <v>905</v>
      </c>
      <c r="D238" s="205"/>
      <c r="E238" s="205">
        <v>12546225.78</v>
      </c>
      <c r="F238" s="205">
        <v>6542850.68</v>
      </c>
      <c r="G238" s="206"/>
      <c r="H238" s="87"/>
      <c r="I238" s="94"/>
      <c r="J238" s="87"/>
    </row>
    <row r="239" spans="1:10" s="101" customFormat="1" ht="15.75" hidden="1">
      <c r="A239" s="87"/>
      <c r="B239" s="188" t="s">
        <v>314</v>
      </c>
      <c r="C239" s="181">
        <v>911</v>
      </c>
      <c r="D239" s="205"/>
      <c r="E239" s="205">
        <v>17443692.78</v>
      </c>
      <c r="F239" s="205">
        <v>8550966.39</v>
      </c>
      <c r="G239" s="206"/>
      <c r="H239" s="87"/>
      <c r="I239" s="94"/>
      <c r="J239" s="87"/>
    </row>
    <row r="240" spans="1:10" s="101" customFormat="1" ht="15.75" hidden="1">
      <c r="A240" s="87"/>
      <c r="B240" s="188" t="s">
        <v>315</v>
      </c>
      <c r="C240" s="181">
        <v>912</v>
      </c>
      <c r="D240" s="205"/>
      <c r="E240" s="205">
        <v>7011489.68</v>
      </c>
      <c r="F240" s="205">
        <v>3833462.41</v>
      </c>
      <c r="G240" s="206"/>
      <c r="H240" s="87"/>
      <c r="I240" s="94"/>
      <c r="J240" s="87"/>
    </row>
    <row r="241" spans="1:10" s="101" customFormat="1" ht="15.75" hidden="1">
      <c r="A241" s="87"/>
      <c r="B241" s="188" t="s">
        <v>316</v>
      </c>
      <c r="C241" s="181">
        <v>913</v>
      </c>
      <c r="D241" s="205"/>
      <c r="E241" s="205">
        <v>81942.48</v>
      </c>
      <c r="F241" s="205">
        <v>40971.24</v>
      </c>
      <c r="G241" s="206"/>
      <c r="H241" s="87"/>
      <c r="I241" s="94"/>
      <c r="J241" s="87"/>
    </row>
    <row r="242" spans="1:10" s="101" customFormat="1" ht="15.75" hidden="1">
      <c r="A242" s="87"/>
      <c r="B242" s="188" t="s">
        <v>317</v>
      </c>
      <c r="C242" s="181">
        <v>914</v>
      </c>
      <c r="D242" s="205"/>
      <c r="E242" s="205">
        <v>3792458.16</v>
      </c>
      <c r="F242" s="205">
        <v>1905229.06</v>
      </c>
      <c r="G242" s="206"/>
      <c r="H242" s="87"/>
      <c r="I242" s="94"/>
      <c r="J242" s="87"/>
    </row>
    <row r="243" spans="1:10" s="101" customFormat="1" ht="15.75" hidden="1">
      <c r="A243" s="87"/>
      <c r="B243" s="188" t="s">
        <v>318</v>
      </c>
      <c r="C243" s="181">
        <v>915</v>
      </c>
      <c r="D243" s="205"/>
      <c r="E243" s="205">
        <v>8957735.62</v>
      </c>
      <c r="F243" s="205">
        <v>4400236.25</v>
      </c>
      <c r="G243" s="206"/>
      <c r="H243" s="87"/>
      <c r="I243" s="94"/>
      <c r="J243" s="87"/>
    </row>
    <row r="244" spans="1:10" s="101" customFormat="1" ht="15.75" hidden="1">
      <c r="A244" s="87"/>
      <c r="B244" s="188" t="s">
        <v>319</v>
      </c>
      <c r="C244" s="181">
        <v>921</v>
      </c>
      <c r="D244" s="205"/>
      <c r="E244" s="205">
        <v>1090498.79</v>
      </c>
      <c r="F244" s="205">
        <v>537644.61</v>
      </c>
      <c r="G244" s="206"/>
      <c r="H244" s="87"/>
      <c r="I244" s="94"/>
      <c r="J244" s="87"/>
    </row>
    <row r="245" spans="1:10" s="101" customFormat="1" ht="15.75" hidden="1">
      <c r="A245" s="87"/>
      <c r="B245" s="188" t="s">
        <v>320</v>
      </c>
      <c r="C245" s="181">
        <v>922</v>
      </c>
      <c r="D245" s="205"/>
      <c r="E245" s="205">
        <v>403641.17</v>
      </c>
      <c r="F245" s="205">
        <v>258521.72</v>
      </c>
      <c r="G245" s="206"/>
      <c r="H245" s="87"/>
      <c r="I245" s="94"/>
      <c r="J245" s="87"/>
    </row>
    <row r="246" spans="1:10" s="101" customFormat="1" ht="15.75" hidden="1">
      <c r="A246" s="87"/>
      <c r="B246" s="188" t="s">
        <v>321</v>
      </c>
      <c r="C246" s="181">
        <v>923</v>
      </c>
      <c r="D246" s="205"/>
      <c r="E246" s="205">
        <v>6767231.54</v>
      </c>
      <c r="F246" s="205">
        <v>3603746.23</v>
      </c>
      <c r="G246" s="206"/>
      <c r="H246" s="87"/>
      <c r="I246" s="94"/>
      <c r="J246" s="87"/>
    </row>
    <row r="247" spans="1:10" s="101" customFormat="1" ht="15.75" hidden="1">
      <c r="A247" s="87"/>
      <c r="B247" s="188" t="s">
        <v>322</v>
      </c>
      <c r="C247" s="181">
        <v>924</v>
      </c>
      <c r="D247" s="205"/>
      <c r="E247" s="205">
        <v>1446424.08</v>
      </c>
      <c r="F247" s="205">
        <v>723212.04</v>
      </c>
      <c r="G247" s="206"/>
      <c r="H247" s="87"/>
      <c r="I247" s="94"/>
      <c r="J247" s="87"/>
    </row>
    <row r="248" spans="1:10" s="101" customFormat="1" ht="15.75" hidden="1">
      <c r="A248" s="87"/>
      <c r="B248" s="188" t="s">
        <v>368</v>
      </c>
      <c r="C248" s="181">
        <v>926</v>
      </c>
      <c r="D248" s="205"/>
      <c r="E248" s="205">
        <v>1154.85</v>
      </c>
      <c r="F248" s="205">
        <v>6929.1</v>
      </c>
      <c r="G248" s="206"/>
      <c r="H248" s="87"/>
      <c r="I248" s="94"/>
      <c r="J248" s="87"/>
    </row>
    <row r="249" spans="1:10" s="101" customFormat="1" ht="15.75" hidden="1">
      <c r="A249" s="87"/>
      <c r="B249" s="188" t="s">
        <v>323</v>
      </c>
      <c r="C249" s="181">
        <v>927</v>
      </c>
      <c r="D249" s="205"/>
      <c r="E249" s="205">
        <v>339732.73</v>
      </c>
      <c r="F249" s="205">
        <v>199339.5</v>
      </c>
      <c r="G249" s="206"/>
      <c r="H249" s="87"/>
      <c r="I249" s="94"/>
      <c r="J249" s="87"/>
    </row>
    <row r="250" spans="1:10" s="101" customFormat="1" ht="15.75" hidden="1">
      <c r="A250" s="87"/>
      <c r="B250" s="188" t="s">
        <v>324</v>
      </c>
      <c r="C250" s="181">
        <v>929</v>
      </c>
      <c r="D250" s="205"/>
      <c r="E250" s="205">
        <v>656342.73</v>
      </c>
      <c r="F250" s="205">
        <v>342946.5</v>
      </c>
      <c r="G250" s="206"/>
      <c r="H250" s="87"/>
      <c r="I250" s="94"/>
      <c r="J250" s="87"/>
    </row>
    <row r="251" spans="1:10" s="101" customFormat="1" ht="15.75" hidden="1">
      <c r="A251" s="87"/>
      <c r="B251" s="188" t="s">
        <v>325</v>
      </c>
      <c r="C251" s="181">
        <v>930</v>
      </c>
      <c r="D251" s="205"/>
      <c r="E251" s="205">
        <v>36846646.68</v>
      </c>
      <c r="F251" s="205">
        <v>16639253.31</v>
      </c>
      <c r="G251" s="206"/>
      <c r="H251" s="87"/>
      <c r="I251" s="94"/>
      <c r="J251" s="87"/>
    </row>
    <row r="252" spans="1:10" s="101" customFormat="1" ht="15.75" hidden="1">
      <c r="A252" s="87"/>
      <c r="B252" s="188" t="s">
        <v>369</v>
      </c>
      <c r="C252" s="181">
        <v>931</v>
      </c>
      <c r="D252" s="205"/>
      <c r="E252" s="205">
        <v>300000</v>
      </c>
      <c r="F252" s="205">
        <v>360000</v>
      </c>
      <c r="G252" s="206"/>
      <c r="H252" s="87"/>
      <c r="I252" s="94"/>
      <c r="J252" s="87"/>
    </row>
    <row r="253" spans="1:10" s="101" customFormat="1" ht="15.75" hidden="1">
      <c r="A253" s="87"/>
      <c r="B253" s="188" t="s">
        <v>326</v>
      </c>
      <c r="C253" s="181">
        <v>932</v>
      </c>
      <c r="D253" s="205"/>
      <c r="E253" s="205">
        <v>10064.28</v>
      </c>
      <c r="F253" s="205">
        <v>5032.14</v>
      </c>
      <c r="G253" s="206"/>
      <c r="H253" s="87"/>
      <c r="I253" s="94"/>
      <c r="J253" s="87"/>
    </row>
    <row r="254" spans="1:10" s="101" customFormat="1" ht="15.75" hidden="1">
      <c r="A254" s="87"/>
      <c r="B254" s="188" t="s">
        <v>327</v>
      </c>
      <c r="C254" s="181">
        <v>933</v>
      </c>
      <c r="D254" s="205"/>
      <c r="E254" s="205">
        <v>1417520.6</v>
      </c>
      <c r="F254" s="205">
        <v>724302.12</v>
      </c>
      <c r="G254" s="206"/>
      <c r="H254" s="87"/>
      <c r="I254" s="94"/>
      <c r="J254" s="87"/>
    </row>
    <row r="255" spans="1:10" s="101" customFormat="1" ht="15.75" hidden="1">
      <c r="A255" s="87"/>
      <c r="B255" s="188" t="s">
        <v>328</v>
      </c>
      <c r="C255" s="181">
        <v>934</v>
      </c>
      <c r="D255" s="205"/>
      <c r="E255" s="205">
        <v>81000</v>
      </c>
      <c r="F255" s="205">
        <v>40500</v>
      </c>
      <c r="G255" s="206"/>
      <c r="H255" s="87"/>
      <c r="I255" s="94"/>
      <c r="J255" s="87"/>
    </row>
    <row r="256" spans="1:10" s="101" customFormat="1" ht="15.75" hidden="1">
      <c r="A256" s="87"/>
      <c r="B256" s="188" t="s">
        <v>329</v>
      </c>
      <c r="C256" s="181">
        <v>936</v>
      </c>
      <c r="D256" s="205"/>
      <c r="E256" s="205">
        <v>2107366.02</v>
      </c>
      <c r="F256" s="205">
        <v>1059942.36</v>
      </c>
      <c r="G256" s="206"/>
      <c r="H256" s="87"/>
      <c r="I256" s="94"/>
      <c r="J256" s="87"/>
    </row>
    <row r="257" spans="1:10" s="101" customFormat="1" ht="15.75" hidden="1">
      <c r="A257" s="87"/>
      <c r="B257" s="188" t="s">
        <v>330</v>
      </c>
      <c r="C257" s="181">
        <v>940</v>
      </c>
      <c r="D257" s="205"/>
      <c r="E257" s="205">
        <v>4316194</v>
      </c>
      <c r="F257" s="205">
        <v>2246931.3</v>
      </c>
      <c r="G257" s="206"/>
      <c r="H257" s="87"/>
      <c r="I257" s="94"/>
      <c r="J257" s="87"/>
    </row>
    <row r="258" spans="1:10" s="101" customFormat="1" ht="15.75" hidden="1">
      <c r="A258" s="87"/>
      <c r="B258" s="188" t="s">
        <v>331</v>
      </c>
      <c r="C258" s="181">
        <v>941</v>
      </c>
      <c r="D258" s="205"/>
      <c r="E258" s="205">
        <v>9293655.87</v>
      </c>
      <c r="F258" s="205">
        <v>4921703.88</v>
      </c>
      <c r="G258" s="206"/>
      <c r="H258" s="87"/>
      <c r="I258" s="94"/>
      <c r="J258" s="87"/>
    </row>
    <row r="259" spans="1:10" s="101" customFormat="1" ht="15.75" hidden="1">
      <c r="A259" s="87"/>
      <c r="B259" s="188" t="s">
        <v>332</v>
      </c>
      <c r="C259" s="181">
        <v>944</v>
      </c>
      <c r="D259" s="205"/>
      <c r="E259" s="205">
        <v>864434.33</v>
      </c>
      <c r="F259" s="205">
        <v>449273.27</v>
      </c>
      <c r="G259" s="206"/>
      <c r="H259" s="87"/>
      <c r="I259" s="94"/>
      <c r="J259" s="87"/>
    </row>
    <row r="260" spans="1:10" s="101" customFormat="1" ht="15.75" hidden="1">
      <c r="A260" s="87"/>
      <c r="B260" s="188" t="s">
        <v>370</v>
      </c>
      <c r="C260" s="181">
        <v>948</v>
      </c>
      <c r="D260" s="210"/>
      <c r="E260" s="210">
        <v>445500.9</v>
      </c>
      <c r="F260" s="210">
        <v>445500.9</v>
      </c>
      <c r="G260" s="206"/>
      <c r="H260" s="87"/>
      <c r="I260" s="94"/>
      <c r="J260" s="87"/>
    </row>
    <row r="261" spans="1:10" s="101" customFormat="1" ht="15.75" hidden="1">
      <c r="A261" s="87"/>
      <c r="B261" s="188" t="s">
        <v>333</v>
      </c>
      <c r="C261" s="181">
        <v>969</v>
      </c>
      <c r="D261" s="211"/>
      <c r="E261" s="211">
        <v>125482743.1</v>
      </c>
      <c r="F261" s="211">
        <v>12621427.79</v>
      </c>
      <c r="G261" s="206"/>
      <c r="H261" s="87"/>
      <c r="I261" s="94"/>
      <c r="J261" s="87"/>
    </row>
    <row r="262" spans="1:10" s="101" customFormat="1" ht="15.75" hidden="1">
      <c r="A262" s="87"/>
      <c r="B262" s="212" t="s">
        <v>334</v>
      </c>
      <c r="C262" s="164"/>
      <c r="D262" s="213">
        <f>SUM(D170:D261)</f>
        <v>0</v>
      </c>
      <c r="E262" s="213">
        <f>SUM(E170:E261)</f>
        <v>921125102.6199996</v>
      </c>
      <c r="F262" s="213">
        <f>SUM(F170:F261)</f>
        <v>415009875.7800001</v>
      </c>
      <c r="G262" s="214">
        <f>SUM(G170:G261)</f>
        <v>0</v>
      </c>
      <c r="H262" s="87"/>
      <c r="I262" s="94"/>
      <c r="J262" s="87"/>
    </row>
    <row r="263" spans="1:10" s="101" customFormat="1" ht="15.75" hidden="1">
      <c r="A263" s="87"/>
      <c r="B263" s="212"/>
      <c r="C263" s="164"/>
      <c r="D263" s="215"/>
      <c r="E263" s="215"/>
      <c r="F263" s="215"/>
      <c r="G263" s="216"/>
      <c r="H263" s="87"/>
      <c r="I263" s="94"/>
      <c r="J263" s="87"/>
    </row>
    <row r="264" spans="1:10" s="101" customFormat="1" ht="15.75" hidden="1">
      <c r="A264" s="87"/>
      <c r="B264" s="212"/>
      <c r="C264" s="164"/>
      <c r="D264" s="215"/>
      <c r="E264" s="215"/>
      <c r="F264" s="215"/>
      <c r="G264" s="216"/>
      <c r="H264" s="87"/>
      <c r="I264" s="94"/>
      <c r="J264" s="87"/>
    </row>
    <row r="265" spans="1:10" s="101" customFormat="1" ht="15.75" hidden="1">
      <c r="A265" s="87"/>
      <c r="B265" s="212" t="s">
        <v>335</v>
      </c>
      <c r="C265" s="164"/>
      <c r="D265" s="215"/>
      <c r="E265" s="215"/>
      <c r="F265" s="215"/>
      <c r="G265" s="216"/>
      <c r="H265" s="87"/>
      <c r="I265" s="94"/>
      <c r="J265" s="87"/>
    </row>
    <row r="266" spans="1:10" s="101" customFormat="1" ht="15.75" hidden="1">
      <c r="A266" s="87"/>
      <c r="B266" s="188" t="s">
        <v>336</v>
      </c>
      <c r="C266" s="181">
        <v>971</v>
      </c>
      <c r="D266" s="205"/>
      <c r="E266" s="205">
        <v>52330.5</v>
      </c>
      <c r="F266" s="205">
        <v>14775</v>
      </c>
      <c r="G266" s="206"/>
      <c r="H266" s="87"/>
      <c r="I266" s="94"/>
      <c r="J266" s="87"/>
    </row>
    <row r="267" spans="1:10" s="101" customFormat="1" ht="15.75" hidden="1">
      <c r="A267" s="87"/>
      <c r="B267" s="188" t="s">
        <v>337</v>
      </c>
      <c r="C267" s="181">
        <v>974</v>
      </c>
      <c r="D267" s="205"/>
      <c r="E267" s="205">
        <v>40346</v>
      </c>
      <c r="F267" s="205"/>
      <c r="G267" s="206"/>
      <c r="H267" s="87"/>
      <c r="I267" s="94"/>
      <c r="J267" s="87"/>
    </row>
    <row r="268" spans="1:10" s="101" customFormat="1" ht="15.75" hidden="1">
      <c r="A268" s="87"/>
      <c r="B268" s="188" t="s">
        <v>338</v>
      </c>
      <c r="C268" s="181">
        <v>975</v>
      </c>
      <c r="D268" s="205"/>
      <c r="E268" s="205">
        <v>74825874.43</v>
      </c>
      <c r="F268" s="205">
        <v>37369397.26</v>
      </c>
      <c r="G268" s="206"/>
      <c r="H268" s="87"/>
      <c r="I268" s="94"/>
      <c r="J268" s="87"/>
    </row>
    <row r="269" spans="1:10" s="101" customFormat="1" ht="15.75" hidden="1">
      <c r="A269" s="87"/>
      <c r="B269" s="188" t="s">
        <v>339</v>
      </c>
      <c r="C269" s="181">
        <v>979</v>
      </c>
      <c r="D269" s="211"/>
      <c r="E269" s="211"/>
      <c r="F269" s="211">
        <v>77248.12</v>
      </c>
      <c r="G269" s="217"/>
      <c r="H269" s="87"/>
      <c r="I269" s="94"/>
      <c r="J269" s="87"/>
    </row>
    <row r="270" spans="1:10" s="101" customFormat="1" ht="15.75" hidden="1">
      <c r="A270" s="87"/>
      <c r="B270" s="218" t="s">
        <v>340</v>
      </c>
      <c r="C270" s="219"/>
      <c r="D270" s="213">
        <f>SUM(D266:D269)</f>
        <v>0</v>
      </c>
      <c r="E270" s="213">
        <f>SUM(E266:E269)</f>
        <v>74918550.93</v>
      </c>
      <c r="F270" s="213">
        <f>SUM(F266:F269)</f>
        <v>37461420.379999995</v>
      </c>
      <c r="G270" s="214">
        <f>SUM(G266:G269)</f>
        <v>0</v>
      </c>
      <c r="H270" s="87"/>
      <c r="I270" s="94"/>
      <c r="J270" s="87"/>
    </row>
    <row r="271" spans="1:10" s="101" customFormat="1" ht="15.75" hidden="1">
      <c r="A271" s="87"/>
      <c r="B271" s="220"/>
      <c r="C271" s="171"/>
      <c r="D271" s="221"/>
      <c r="E271" s="221"/>
      <c r="F271" s="221"/>
      <c r="G271" s="222"/>
      <c r="H271" s="87"/>
      <c r="I271" s="94"/>
      <c r="J271" s="87"/>
    </row>
    <row r="272" spans="1:10" s="101" customFormat="1" ht="16.5" hidden="1" thickBot="1">
      <c r="A272" s="87"/>
      <c r="B272" s="223" t="s">
        <v>341</v>
      </c>
      <c r="C272" s="224"/>
      <c r="D272" s="225">
        <f>D166+D262+D270</f>
        <v>0</v>
      </c>
      <c r="E272" s="225">
        <f>E166+E262+E270</f>
        <v>1361315042.2399998</v>
      </c>
      <c r="F272" s="225">
        <f>F166+F262+F270</f>
        <v>656792584.0400001</v>
      </c>
      <c r="G272" s="226">
        <f>G166+G262+G270</f>
        <v>0</v>
      </c>
      <c r="H272" s="87"/>
      <c r="I272" s="94"/>
      <c r="J272" s="87"/>
    </row>
    <row r="273" spans="1:10" s="101" customFormat="1" ht="15.75" hidden="1">
      <c r="A273" s="87"/>
      <c r="B273" s="161"/>
      <c r="C273" s="227"/>
      <c r="D273" s="228"/>
      <c r="E273" s="228"/>
      <c r="F273" s="228"/>
      <c r="G273" s="228"/>
      <c r="H273" s="87"/>
      <c r="I273" s="94"/>
      <c r="J273" s="87"/>
    </row>
    <row r="274" spans="1:10" s="101" customFormat="1" ht="15.75">
      <c r="A274" s="87"/>
      <c r="B274" s="157"/>
      <c r="C274" s="158"/>
      <c r="D274" s="229"/>
      <c r="E274" s="229"/>
      <c r="F274" s="230"/>
      <c r="G274" s="230"/>
      <c r="H274" s="87"/>
      <c r="I274" s="94"/>
      <c r="J274" s="87"/>
    </row>
    <row r="275" spans="1:10" s="101" customFormat="1" ht="15.75">
      <c r="A275" s="87"/>
      <c r="B275" s="157"/>
      <c r="C275" s="158"/>
      <c r="D275" s="229"/>
      <c r="E275" s="229"/>
      <c r="F275" s="230"/>
      <c r="G275" s="230"/>
      <c r="H275" s="87"/>
      <c r="I275" s="94"/>
      <c r="J275" s="87"/>
    </row>
    <row r="276" spans="1:10" s="101" customFormat="1" ht="15.75">
      <c r="A276" s="87"/>
      <c r="B276" s="157"/>
      <c r="C276" s="158"/>
      <c r="D276" s="229"/>
      <c r="E276" s="229"/>
      <c r="F276" s="230"/>
      <c r="G276" s="230"/>
      <c r="H276" s="87"/>
      <c r="I276" s="94"/>
      <c r="J276" s="87"/>
    </row>
    <row r="277" spans="1:10" s="101" customFormat="1" ht="15.75">
      <c r="A277" s="87"/>
      <c r="B277" s="157" t="s">
        <v>135</v>
      </c>
      <c r="C277" s="158"/>
      <c r="D277" s="230"/>
      <c r="E277" s="230"/>
      <c r="F277" s="230"/>
      <c r="G277" s="230"/>
      <c r="H277" s="87"/>
      <c r="I277" s="94"/>
      <c r="J277" s="87"/>
    </row>
    <row r="278" spans="1:10" s="101" customFormat="1" ht="15.75">
      <c r="A278" s="87"/>
      <c r="B278" s="157"/>
      <c r="C278" s="158"/>
      <c r="D278" s="230"/>
      <c r="E278" s="230"/>
      <c r="F278" s="230"/>
      <c r="G278" s="230"/>
      <c r="H278" s="87"/>
      <c r="I278" s="94"/>
      <c r="J278" s="87"/>
    </row>
    <row r="279" spans="1:10" s="101" customFormat="1" ht="15.75">
      <c r="A279" s="87"/>
      <c r="B279" s="157"/>
      <c r="C279" s="158"/>
      <c r="D279" s="230"/>
      <c r="E279" s="230"/>
      <c r="F279" s="230"/>
      <c r="G279" s="230"/>
      <c r="H279" s="87"/>
      <c r="I279" s="94"/>
      <c r="J279" s="87"/>
    </row>
    <row r="280" spans="1:10" s="101" customFormat="1" ht="15.75">
      <c r="A280" s="87"/>
      <c r="B280" s="231" t="s">
        <v>377</v>
      </c>
      <c r="C280" s="158"/>
      <c r="D280" s="229" t="s">
        <v>378</v>
      </c>
      <c r="E280" s="229"/>
      <c r="F280" s="230"/>
      <c r="G280" s="230"/>
      <c r="H280" s="87"/>
      <c r="I280" s="94"/>
      <c r="J280" s="87"/>
    </row>
    <row r="281" spans="1:10" s="101" customFormat="1" ht="15.75">
      <c r="A281" s="87"/>
      <c r="B281" s="157" t="s">
        <v>136</v>
      </c>
      <c r="C281" s="158"/>
      <c r="D281" s="230" t="s">
        <v>154</v>
      </c>
      <c r="E281" s="230"/>
      <c r="F281" s="230"/>
      <c r="G281" s="230"/>
      <c r="H281" s="87"/>
      <c r="I281" s="94"/>
      <c r="J281" s="87"/>
    </row>
    <row r="282" spans="1:10" s="101" customFormat="1" ht="15.75">
      <c r="A282" s="87"/>
      <c r="B282" s="157"/>
      <c r="C282" s="158"/>
      <c r="D282" s="230"/>
      <c r="E282" s="230"/>
      <c r="F282" s="230"/>
      <c r="G282" s="230"/>
      <c r="H282" s="87"/>
      <c r="I282" s="94"/>
      <c r="J282" s="87"/>
    </row>
    <row r="283" spans="1:10" s="101" customFormat="1" ht="15.75">
      <c r="A283" s="87"/>
      <c r="B283" s="231" t="s">
        <v>379</v>
      </c>
      <c r="C283" s="232"/>
      <c r="D283" s="230"/>
      <c r="E283" s="230"/>
      <c r="F283" s="230"/>
      <c r="G283" s="230"/>
      <c r="H283" s="87"/>
      <c r="I283" s="94"/>
      <c r="J283" s="87"/>
    </row>
    <row r="284" spans="2:7" ht="15.75">
      <c r="B284" s="157" t="s">
        <v>152</v>
      </c>
      <c r="C284" s="158"/>
      <c r="D284" s="230"/>
      <c r="E284" s="230"/>
      <c r="F284" s="230"/>
      <c r="G284" s="230"/>
    </row>
    <row r="285" spans="2:7" ht="15.75">
      <c r="B285" s="157"/>
      <c r="C285" s="158"/>
      <c r="D285" s="230"/>
      <c r="E285" s="230"/>
      <c r="F285" s="230"/>
      <c r="G285" s="157"/>
    </row>
    <row r="286" spans="2:7" ht="15.75">
      <c r="B286" s="157"/>
      <c r="C286" s="158"/>
      <c r="D286" s="230"/>
      <c r="E286" s="230"/>
      <c r="F286" s="230"/>
      <c r="G286" s="157"/>
    </row>
    <row r="287" spans="2:7" ht="15.75">
      <c r="B287" s="157"/>
      <c r="C287" s="158"/>
      <c r="D287" s="230"/>
      <c r="E287" s="230"/>
      <c r="F287" s="230"/>
      <c r="G287" s="157"/>
    </row>
    <row r="288" spans="2:7" ht="15.75">
      <c r="B288" s="157"/>
      <c r="C288" s="158"/>
      <c r="D288" s="230"/>
      <c r="E288" s="230"/>
      <c r="F288" s="230"/>
      <c r="G288" s="157"/>
    </row>
    <row r="289" spans="2:7" ht="15.75">
      <c r="B289" s="157"/>
      <c r="C289" s="158"/>
      <c r="D289" s="230"/>
      <c r="E289" s="230"/>
      <c r="F289" s="230"/>
      <c r="G289" s="157"/>
    </row>
    <row r="290" spans="2:7" ht="16.5">
      <c r="B290" s="57"/>
      <c r="C290" s="105"/>
      <c r="D290" s="81"/>
      <c r="E290" s="81"/>
      <c r="F290" s="80"/>
      <c r="G290" s="57"/>
    </row>
    <row r="291" spans="2:7" ht="16.5">
      <c r="B291" s="57"/>
      <c r="C291" s="105"/>
      <c r="D291" s="81"/>
      <c r="E291" s="81"/>
      <c r="F291" s="80"/>
      <c r="G291" s="57"/>
    </row>
    <row r="292" spans="2:7" ht="16.5">
      <c r="B292" s="57"/>
      <c r="C292" s="105"/>
      <c r="D292" s="81"/>
      <c r="E292" s="81"/>
      <c r="F292" s="80"/>
      <c r="G292" s="57"/>
    </row>
    <row r="293" spans="2:7" ht="16.5">
      <c r="B293" s="57"/>
      <c r="C293" s="105"/>
      <c r="D293" s="81"/>
      <c r="E293" s="81"/>
      <c r="F293" s="80"/>
      <c r="G293" s="57"/>
    </row>
    <row r="294" spans="2:7" ht="16.5">
      <c r="B294" s="57"/>
      <c r="C294" s="105"/>
      <c r="D294" s="81"/>
      <c r="E294" s="81"/>
      <c r="F294" s="80"/>
      <c r="G294" s="57"/>
    </row>
    <row r="295" spans="2:7" ht="16.5">
      <c r="B295" s="57"/>
      <c r="C295" s="105"/>
      <c r="D295" s="81"/>
      <c r="E295" s="81"/>
      <c r="F295" s="80"/>
      <c r="G295" s="57"/>
    </row>
    <row r="296" spans="2:7" ht="16.5">
      <c r="B296" s="57"/>
      <c r="C296" s="105"/>
      <c r="D296" s="81"/>
      <c r="E296" s="81"/>
      <c r="F296" s="80"/>
      <c r="G296" s="57"/>
    </row>
    <row r="297" spans="2:7" ht="16.5">
      <c r="B297" s="57"/>
      <c r="C297" s="105"/>
      <c r="D297" s="81"/>
      <c r="E297" s="81"/>
      <c r="F297" s="80"/>
      <c r="G297" s="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57"/>
      <c r="C304" s="105"/>
      <c r="D304" s="81"/>
      <c r="E304" s="81"/>
      <c r="F304" s="80"/>
      <c r="G304" s="57"/>
    </row>
    <row r="305" spans="2:7" ht="16.5">
      <c r="B305" s="85"/>
      <c r="C305" s="118"/>
      <c r="D305" s="83"/>
      <c r="E305" s="83"/>
      <c r="F305" s="84"/>
      <c r="G305" s="85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0"/>
      <c r="G311" s="57"/>
    </row>
    <row r="312" spans="2:7" ht="16.5">
      <c r="B312" s="57"/>
      <c r="C312" s="105"/>
      <c r="D312" s="81"/>
      <c r="E312" s="81"/>
      <c r="F312" s="86"/>
      <c r="G312" s="57"/>
    </row>
    <row r="313" spans="2:7" ht="16.5">
      <c r="B313" s="57"/>
      <c r="C313" s="105"/>
      <c r="D313" s="81"/>
      <c r="E313" s="81"/>
      <c r="F313" s="86"/>
      <c r="G313" s="57"/>
    </row>
    <row r="314" spans="2:7" ht="16.5">
      <c r="B314" s="57"/>
      <c r="C314" s="105"/>
      <c r="D314" s="81"/>
      <c r="E314" s="81"/>
      <c r="F314" s="86"/>
      <c r="G314" s="57"/>
    </row>
    <row r="315" spans="2:7" ht="16.5">
      <c r="B315" s="57"/>
      <c r="C315" s="105"/>
      <c r="D315" s="81"/>
      <c r="E315" s="81"/>
      <c r="F315" s="86"/>
      <c r="G315" s="57"/>
    </row>
    <row r="316" spans="2:7" ht="16.5">
      <c r="B316" s="57"/>
      <c r="C316" s="105"/>
      <c r="D316" s="81"/>
      <c r="E316" s="81"/>
      <c r="F316" s="86"/>
      <c r="G316" s="57"/>
    </row>
    <row r="317" spans="2:7" ht="16.5">
      <c r="B317" s="57"/>
      <c r="C317" s="105"/>
      <c r="D317" s="81"/>
      <c r="E317" s="81"/>
      <c r="F317" s="86"/>
      <c r="G317" s="57"/>
    </row>
    <row r="318" spans="2:7" ht="16.5">
      <c r="B318" s="57"/>
      <c r="C318" s="105"/>
      <c r="D318" s="81"/>
      <c r="E318" s="81"/>
      <c r="F318" s="86"/>
      <c r="G318" s="57"/>
    </row>
    <row r="319" spans="2:7" ht="16.5">
      <c r="B319" s="57"/>
      <c r="C319" s="105"/>
      <c r="D319" s="81"/>
      <c r="E319" s="81"/>
      <c r="F319" s="86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  <row r="325" spans="2:7" ht="16.5">
      <c r="B325" s="57"/>
      <c r="C325" s="105"/>
      <c r="D325" s="81"/>
      <c r="E325" s="81"/>
      <c r="F325" s="86"/>
      <c r="G325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5"/>
  <sheetViews>
    <sheetView zoomScale="166" zoomScaleNormal="166" zoomScalePageLayoutView="0" workbookViewId="0" topLeftCell="A1">
      <selection activeCell="B1" sqref="B1:H276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hidden="1" customWidth="1"/>
    <col min="6" max="6" width="10.3359375" style="87" customWidth="1"/>
    <col min="7" max="7" width="9.6640625" style="87" customWidth="1"/>
    <col min="8" max="8" width="9.88671875" style="87" customWidth="1"/>
    <col min="9" max="9" width="12.99609375" style="87" hidden="1" customWidth="1"/>
    <col min="10" max="10" width="18.21484375" style="87" hidden="1" customWidth="1"/>
    <col min="11" max="11" width="12.6640625" style="87" hidden="1" customWidth="1"/>
    <col min="12" max="12" width="1.1171875" style="87" hidden="1" customWidth="1"/>
    <col min="13" max="13" width="9.77734375" style="0" customWidth="1"/>
    <col min="14" max="14" width="10.10546875" style="325" customWidth="1"/>
  </cols>
  <sheetData>
    <row r="1" spans="1:15" s="56" customFormat="1" ht="15.75">
      <c r="A1" s="87"/>
      <c r="B1" s="240"/>
      <c r="C1" s="240"/>
      <c r="D1" s="240"/>
      <c r="E1" s="240"/>
      <c r="F1" s="240"/>
      <c r="G1" s="240"/>
      <c r="H1" s="240"/>
      <c r="I1" s="154"/>
      <c r="J1" s="87"/>
      <c r="K1" s="87"/>
      <c r="L1" s="87"/>
      <c r="M1" s="87"/>
      <c r="N1" s="324"/>
      <c r="O1" s="87"/>
    </row>
    <row r="2" spans="1:15" s="56" customFormat="1" ht="15">
      <c r="A2" s="87"/>
      <c r="B2" s="482" t="s">
        <v>196</v>
      </c>
      <c r="C2" s="482"/>
      <c r="D2" s="482"/>
      <c r="E2" s="482"/>
      <c r="F2" s="482"/>
      <c r="G2" s="482"/>
      <c r="H2" s="241"/>
      <c r="I2" s="155"/>
      <c r="J2" s="87"/>
      <c r="K2" s="87"/>
      <c r="L2" s="87"/>
      <c r="M2" s="87"/>
      <c r="N2" s="324"/>
      <c r="O2" s="87"/>
    </row>
    <row r="3" spans="1:15" s="56" customFormat="1" ht="15">
      <c r="A3" s="87"/>
      <c r="B3" s="483" t="s">
        <v>197</v>
      </c>
      <c r="C3" s="483"/>
      <c r="D3" s="483"/>
      <c r="E3" s="483"/>
      <c r="F3" s="483"/>
      <c r="G3" s="483"/>
      <c r="H3" s="242"/>
      <c r="I3" s="156"/>
      <c r="J3" s="87"/>
      <c r="K3" s="87"/>
      <c r="L3" s="87"/>
      <c r="M3" s="87"/>
      <c r="N3" s="324"/>
      <c r="O3" s="87"/>
    </row>
    <row r="4" spans="1:14" s="56" customFormat="1" ht="15">
      <c r="A4" s="87"/>
      <c r="B4" s="483" t="s">
        <v>198</v>
      </c>
      <c r="C4" s="483"/>
      <c r="D4" s="483"/>
      <c r="E4" s="483"/>
      <c r="F4" s="483"/>
      <c r="G4" s="483"/>
      <c r="H4" s="242"/>
      <c r="I4" s="156"/>
      <c r="J4" s="87"/>
      <c r="K4" s="87"/>
      <c r="L4" s="87"/>
      <c r="M4" s="87"/>
      <c r="N4" s="324"/>
    </row>
    <row r="5" spans="1:14" s="56" customFormat="1" ht="15.75">
      <c r="A5" s="87"/>
      <c r="B5" s="243"/>
      <c r="C5" s="244"/>
      <c r="D5" s="243"/>
      <c r="E5" s="243"/>
      <c r="F5" s="243"/>
      <c r="G5" s="243"/>
      <c r="H5" s="243"/>
      <c r="I5" s="157"/>
      <c r="J5" s="87"/>
      <c r="K5" s="87"/>
      <c r="L5" s="87"/>
      <c r="M5" s="87"/>
      <c r="N5" s="324"/>
    </row>
    <row r="6" spans="1:14" s="56" customFormat="1" ht="16.5" thickBot="1">
      <c r="A6" s="87"/>
      <c r="B6" s="243"/>
      <c r="C6" s="244"/>
      <c r="D6" s="243"/>
      <c r="E6" s="243"/>
      <c r="F6" s="243"/>
      <c r="G6" s="243"/>
      <c r="H6" s="243"/>
      <c r="I6" s="157"/>
      <c r="J6" s="87"/>
      <c r="K6" s="87"/>
      <c r="L6" s="87"/>
      <c r="M6" s="87"/>
      <c r="N6" s="324"/>
    </row>
    <row r="7" spans="1:14" s="56" customFormat="1" ht="15.75">
      <c r="A7" s="87"/>
      <c r="B7" s="245"/>
      <c r="C7" s="246"/>
      <c r="D7" s="247"/>
      <c r="E7" s="248" t="s">
        <v>18</v>
      </c>
      <c r="F7" s="323"/>
      <c r="G7" s="484" t="s">
        <v>344</v>
      </c>
      <c r="H7" s="485"/>
      <c r="I7" s="158"/>
      <c r="J7" s="87"/>
      <c r="K7" s="87"/>
      <c r="L7" s="87"/>
      <c r="M7" s="87"/>
      <c r="N7" s="324"/>
    </row>
    <row r="8" spans="1:14" s="56" customFormat="1" ht="15.75">
      <c r="A8" s="87"/>
      <c r="B8" s="249"/>
      <c r="C8" s="250" t="s">
        <v>16</v>
      </c>
      <c r="D8" s="244"/>
      <c r="E8" s="251" t="s">
        <v>19</v>
      </c>
      <c r="F8" s="252">
        <v>2012</v>
      </c>
      <c r="G8" s="253" t="s">
        <v>386</v>
      </c>
      <c r="H8" s="253" t="s">
        <v>386</v>
      </c>
      <c r="I8" s="167" t="s">
        <v>156</v>
      </c>
      <c r="J8" s="87"/>
      <c r="K8" s="87"/>
      <c r="L8" s="87"/>
      <c r="M8" s="87"/>
      <c r="N8" s="324"/>
    </row>
    <row r="9" spans="1:14" s="56" customFormat="1" ht="15.75">
      <c r="A9" s="87"/>
      <c r="B9" s="254" t="s">
        <v>15</v>
      </c>
      <c r="C9" s="250" t="s">
        <v>17</v>
      </c>
      <c r="D9" s="244"/>
      <c r="E9" s="251" t="s">
        <v>155</v>
      </c>
      <c r="F9" s="250" t="s">
        <v>381</v>
      </c>
      <c r="G9" s="255" t="s">
        <v>185</v>
      </c>
      <c r="H9" s="256" t="s">
        <v>138</v>
      </c>
      <c r="I9" s="169" t="s">
        <v>138</v>
      </c>
      <c r="J9" s="87"/>
      <c r="K9" s="87"/>
      <c r="L9" s="87"/>
      <c r="M9" s="87"/>
      <c r="N9" s="324"/>
    </row>
    <row r="10" spans="1:14" s="56" customFormat="1" ht="15.75">
      <c r="A10" s="87"/>
      <c r="B10" s="257"/>
      <c r="C10" s="258"/>
      <c r="D10" s="259"/>
      <c r="E10" s="260">
        <v>2012</v>
      </c>
      <c r="F10" s="258" t="s">
        <v>155</v>
      </c>
      <c r="G10" s="255" t="s">
        <v>382</v>
      </c>
      <c r="H10" s="255" t="s">
        <v>185</v>
      </c>
      <c r="I10" s="174" t="s">
        <v>185</v>
      </c>
      <c r="J10" s="87"/>
      <c r="K10" s="87"/>
      <c r="L10" s="87"/>
      <c r="M10" s="87"/>
      <c r="N10" s="324"/>
    </row>
    <row r="11" spans="1:14" s="56" customFormat="1" ht="15.75">
      <c r="A11" s="87"/>
      <c r="B11" s="261"/>
      <c r="C11" s="252"/>
      <c r="D11" s="262"/>
      <c r="E11" s="263"/>
      <c r="F11" s="264"/>
      <c r="G11" s="265"/>
      <c r="H11" s="265"/>
      <c r="I11" s="179"/>
      <c r="J11" s="87"/>
      <c r="K11" s="87"/>
      <c r="L11" s="87"/>
      <c r="M11" s="87"/>
      <c r="N11" s="324"/>
    </row>
    <row r="12" spans="1:14" s="56" customFormat="1" ht="15.75">
      <c r="A12" s="87"/>
      <c r="B12" s="266" t="s">
        <v>26</v>
      </c>
      <c r="C12" s="267"/>
      <c r="D12" s="268"/>
      <c r="E12" s="269"/>
      <c r="F12" s="270"/>
      <c r="G12" s="271"/>
      <c r="H12" s="271"/>
      <c r="I12" s="185"/>
      <c r="J12" s="87"/>
      <c r="K12" s="87"/>
      <c r="L12" s="87"/>
      <c r="M12" s="87"/>
      <c r="N12" s="324"/>
    </row>
    <row r="13" spans="1:14" s="56" customFormat="1" ht="15.75">
      <c r="A13" s="87"/>
      <c r="B13" s="272"/>
      <c r="C13" s="267"/>
      <c r="D13" s="268"/>
      <c r="E13" s="269"/>
      <c r="F13" s="270"/>
      <c r="G13" s="271"/>
      <c r="H13" s="271"/>
      <c r="I13" s="185"/>
      <c r="J13" s="87"/>
      <c r="K13" s="87"/>
      <c r="L13" s="87"/>
      <c r="M13" s="87"/>
      <c r="N13" s="324"/>
    </row>
    <row r="14" spans="2:14" ht="15.75">
      <c r="B14" s="272" t="s">
        <v>27</v>
      </c>
      <c r="C14" s="267">
        <v>127</v>
      </c>
      <c r="D14" s="268"/>
      <c r="E14" s="270">
        <v>54985649.97</v>
      </c>
      <c r="F14" s="270">
        <f>+1074450.74+644393.61+5078935.6</f>
        <v>6797779.949999999</v>
      </c>
      <c r="G14" s="273">
        <f>(4231979.48+10459045.64+6797779.95)/3</f>
        <v>7162935.023333333</v>
      </c>
      <c r="H14" s="273">
        <f>100000000/4</f>
        <v>25000000</v>
      </c>
      <c r="I14" s="187">
        <v>100000000</v>
      </c>
      <c r="M14" s="273">
        <f>4231979.48+10459045.64+6797779.95</f>
        <v>21488805.07</v>
      </c>
      <c r="N14" s="324">
        <f>+G14*3</f>
        <v>21488805.07</v>
      </c>
    </row>
    <row r="15" spans="2:14" ht="15.75">
      <c r="B15" s="272" t="s">
        <v>28</v>
      </c>
      <c r="C15" s="267">
        <v>588</v>
      </c>
      <c r="D15" s="268"/>
      <c r="E15" s="270">
        <v>53228473.42</v>
      </c>
      <c r="F15" s="270">
        <f>+2042445.27+2786177.05+4044807.78</f>
        <v>8873430.1</v>
      </c>
      <c r="G15" s="273">
        <f>(2991481.56+7478349.03+8873430.1)/3</f>
        <v>6447753.563333333</v>
      </c>
      <c r="H15" s="273">
        <f>50000000/4</f>
        <v>12500000</v>
      </c>
      <c r="I15" s="187">
        <v>50000000</v>
      </c>
      <c r="M15" s="273">
        <f>2991481.56+7478349.03+8873430.1</f>
        <v>19343260.689999998</v>
      </c>
      <c r="N15" s="324">
        <f>+G15*3</f>
        <v>19343260.689999998</v>
      </c>
    </row>
    <row r="16" spans="2:14" ht="15.75">
      <c r="B16" s="272" t="s">
        <v>29</v>
      </c>
      <c r="C16" s="267">
        <v>954</v>
      </c>
      <c r="D16" s="268"/>
      <c r="E16" s="270">
        <v>-664189.41</v>
      </c>
      <c r="F16" s="270">
        <f>-1156.49-544.33-25534.17</f>
        <v>-27234.989999999998</v>
      </c>
      <c r="G16" s="273">
        <f>(-102960.49-59581.15-27234.99)/3</f>
        <v>-63258.87666666667</v>
      </c>
      <c r="H16" s="273">
        <f>+-5000000/4</f>
        <v>-1250000</v>
      </c>
      <c r="I16" s="187">
        <v>-5000000</v>
      </c>
      <c r="K16" s="233" t="s">
        <v>200</v>
      </c>
      <c r="M16" s="273">
        <f>-102960.49-59581.15-27234.99</f>
        <v>-189776.63</v>
      </c>
      <c r="N16" s="324">
        <f>+G16*3</f>
        <v>-189776.63</v>
      </c>
    </row>
    <row r="17" spans="2:14" ht="15.75">
      <c r="B17" s="272" t="s">
        <v>30</v>
      </c>
      <c r="C17" s="267">
        <v>599</v>
      </c>
      <c r="D17" s="268"/>
      <c r="E17" s="270">
        <v>6235344.7</v>
      </c>
      <c r="F17" s="270">
        <f>+314395.89+1331454.65+328802.91</f>
        <v>1974653.45</v>
      </c>
      <c r="G17" s="273">
        <f>(783914.17+2583901.11+1974653.4)/3</f>
        <v>1780822.8933333333</v>
      </c>
      <c r="H17" s="273">
        <f>10000000/4</f>
        <v>2500000</v>
      </c>
      <c r="I17" s="187">
        <v>10000000</v>
      </c>
      <c r="M17" s="273">
        <f>783914.17+2583901.11+1974653.45</f>
        <v>5342468.7299999995</v>
      </c>
      <c r="N17" s="324">
        <f>+G17*3</f>
        <v>5342468.68</v>
      </c>
    </row>
    <row r="18" spans="1:14" s="56" customFormat="1" ht="15.75">
      <c r="A18" s="87"/>
      <c r="B18" s="272"/>
      <c r="C18" s="267"/>
      <c r="D18" s="268"/>
      <c r="E18" s="268"/>
      <c r="F18" s="270"/>
      <c r="G18" s="271"/>
      <c r="H18" s="271"/>
      <c r="I18" s="185"/>
      <c r="J18" s="87"/>
      <c r="K18" s="87"/>
      <c r="L18" s="87"/>
      <c r="M18" s="271"/>
      <c r="N18" s="324"/>
    </row>
    <row r="19" spans="1:14" s="56" customFormat="1" ht="15.75">
      <c r="A19" s="87"/>
      <c r="B19" s="266" t="s">
        <v>31</v>
      </c>
      <c r="C19" s="267"/>
      <c r="D19" s="268"/>
      <c r="E19" s="268"/>
      <c r="F19" s="270"/>
      <c r="G19" s="271"/>
      <c r="H19" s="271"/>
      <c r="I19" s="185"/>
      <c r="J19" s="87"/>
      <c r="K19" s="87"/>
      <c r="L19" s="87"/>
      <c r="M19" s="271"/>
      <c r="N19" s="324"/>
    </row>
    <row r="20" spans="1:14" s="56" customFormat="1" ht="15.75">
      <c r="A20" s="87"/>
      <c r="B20" s="272"/>
      <c r="C20" s="267"/>
      <c r="D20" s="268"/>
      <c r="E20" s="268"/>
      <c r="F20" s="270"/>
      <c r="G20" s="271"/>
      <c r="H20" s="271"/>
      <c r="I20" s="185"/>
      <c r="J20" s="87"/>
      <c r="K20" s="87"/>
      <c r="L20" s="87"/>
      <c r="M20" s="271"/>
      <c r="N20" s="324"/>
    </row>
    <row r="21" spans="2:14" ht="15.75">
      <c r="B21" s="272" t="s">
        <v>32</v>
      </c>
      <c r="C21" s="267">
        <v>564</v>
      </c>
      <c r="D21" s="268"/>
      <c r="E21" s="270">
        <v>174415</v>
      </c>
      <c r="F21" s="270">
        <f>+2350+3860+1150</f>
        <v>7360</v>
      </c>
      <c r="G21" s="273">
        <f>(6850+7080+7360)/3</f>
        <v>7096.666666666667</v>
      </c>
      <c r="H21" s="273">
        <f>200000/4</f>
        <v>50000</v>
      </c>
      <c r="I21" s="187">
        <v>200000</v>
      </c>
      <c r="M21" s="273">
        <f>6850+7080+7360</f>
        <v>21290</v>
      </c>
      <c r="N21" s="324">
        <f>+G21*3</f>
        <v>21290</v>
      </c>
    </row>
    <row r="22" spans="2:14" ht="15.75">
      <c r="B22" s="272" t="s">
        <v>33</v>
      </c>
      <c r="C22" s="267">
        <v>581</v>
      </c>
      <c r="D22" s="268"/>
      <c r="E22" s="270"/>
      <c r="F22" s="270"/>
      <c r="G22" s="273">
        <f>(130912.1+209777.8+1174792.29)/3</f>
        <v>505160.73</v>
      </c>
      <c r="H22" s="273">
        <f>3000000/4</f>
        <v>750000</v>
      </c>
      <c r="I22" s="187">
        <v>3000000</v>
      </c>
      <c r="M22" s="273">
        <f>130912.1+209777.8+1174792.29</f>
        <v>1515482.19</v>
      </c>
      <c r="N22" s="324">
        <f>+G22*3</f>
        <v>1515482.19</v>
      </c>
    </row>
    <row r="23" spans="2:14" ht="15.75">
      <c r="B23" s="272" t="s">
        <v>34</v>
      </c>
      <c r="C23" s="267" t="s">
        <v>90</v>
      </c>
      <c r="D23" s="268"/>
      <c r="E23" s="274">
        <v>2856002.37</v>
      </c>
      <c r="F23" s="275">
        <v>971742.2000000001</v>
      </c>
      <c r="G23" s="273"/>
      <c r="H23" s="273"/>
      <c r="I23" s="187"/>
      <c r="J23" s="87">
        <f>303122+316666.8+351953.4</f>
        <v>971742.2000000001</v>
      </c>
      <c r="M23" s="273"/>
      <c r="N23" s="324"/>
    </row>
    <row r="24" spans="2:14" ht="15.75">
      <c r="B24" s="272" t="s">
        <v>139</v>
      </c>
      <c r="C24" s="267" t="s">
        <v>91</v>
      </c>
      <c r="D24" s="268"/>
      <c r="E24" s="274">
        <v>943905.37</v>
      </c>
      <c r="F24" s="275">
        <v>188993.22999999998</v>
      </c>
      <c r="G24" s="273"/>
      <c r="H24" s="273"/>
      <c r="I24" s="187"/>
      <c r="J24" s="87">
        <f>17710.64-5220+5459.25+171043.34</f>
        <v>188993.22999999998</v>
      </c>
      <c r="M24" s="273"/>
      <c r="N24" s="324"/>
    </row>
    <row r="25" spans="2:14" ht="15.75">
      <c r="B25" s="272" t="s">
        <v>345</v>
      </c>
      <c r="C25" s="267" t="s">
        <v>91</v>
      </c>
      <c r="D25" s="268"/>
      <c r="E25" s="274">
        <v>110606.77</v>
      </c>
      <c r="F25" s="275">
        <v>14056.86</v>
      </c>
      <c r="G25" s="273"/>
      <c r="H25" s="273"/>
      <c r="I25" s="187"/>
      <c r="J25" s="87">
        <f>+14056.86</f>
        <v>14056.86</v>
      </c>
      <c r="M25" s="273"/>
      <c r="N25" s="324"/>
    </row>
    <row r="26" spans="2:14" ht="15.75" hidden="1">
      <c r="B26" s="272" t="s">
        <v>140</v>
      </c>
      <c r="C26" s="267" t="s">
        <v>92</v>
      </c>
      <c r="D26" s="268"/>
      <c r="E26" s="270">
        <v>24080.4</v>
      </c>
      <c r="F26" s="270"/>
      <c r="G26" s="273"/>
      <c r="H26" s="273"/>
      <c r="I26" s="187"/>
      <c r="M26" s="273"/>
      <c r="N26" s="324"/>
    </row>
    <row r="27" spans="2:14" ht="15.75">
      <c r="B27" s="272" t="s">
        <v>35</v>
      </c>
      <c r="C27" s="267">
        <v>582</v>
      </c>
      <c r="D27" s="268"/>
      <c r="E27" s="270"/>
      <c r="F27" s="270"/>
      <c r="G27" s="273">
        <f>(9956083.63+14037284.69+14977056.71)/3</f>
        <v>12990141.676666668</v>
      </c>
      <c r="H27" s="273">
        <f>85000000/4</f>
        <v>21250000</v>
      </c>
      <c r="I27" s="187">
        <v>85000000</v>
      </c>
      <c r="M27" s="273">
        <f>9956083.63+14037284.69+14977056.71</f>
        <v>38970425.03</v>
      </c>
      <c r="N27" s="324">
        <f>+G27*3</f>
        <v>38970425.03</v>
      </c>
    </row>
    <row r="28" spans="2:14" ht="15.75">
      <c r="B28" s="276" t="s">
        <v>36</v>
      </c>
      <c r="C28" s="267" t="s">
        <v>93</v>
      </c>
      <c r="D28" s="268"/>
      <c r="E28" s="270">
        <v>14061927.55</v>
      </c>
      <c r="F28" s="270">
        <f>2593197.46+103835.09+151915.4-200</f>
        <v>2848747.9499999997</v>
      </c>
      <c r="G28" s="273"/>
      <c r="H28" s="273"/>
      <c r="I28" s="187"/>
      <c r="J28" s="235">
        <f>151915.4-200+103835.09+2593197.46</f>
        <v>2848747.95</v>
      </c>
      <c r="K28" s="236">
        <f aca="true" t="shared" si="0" ref="K28:K56">+F28-J28</f>
        <v>0</v>
      </c>
      <c r="M28" s="273"/>
      <c r="N28" s="324"/>
    </row>
    <row r="29" spans="2:14" ht="15.75">
      <c r="B29" s="276" t="s">
        <v>346</v>
      </c>
      <c r="C29" s="267" t="s">
        <v>93</v>
      </c>
      <c r="D29" s="268"/>
      <c r="E29" s="270">
        <v>5435.28</v>
      </c>
      <c r="F29" s="270">
        <f>+2545.21</f>
        <v>2545.21</v>
      </c>
      <c r="G29" s="273"/>
      <c r="H29" s="273"/>
      <c r="I29" s="187"/>
      <c r="J29" s="235">
        <f>+2545.21</f>
        <v>2545.21</v>
      </c>
      <c r="K29" s="236">
        <f t="shared" si="0"/>
        <v>0</v>
      </c>
      <c r="M29" s="273"/>
      <c r="N29" s="324"/>
    </row>
    <row r="30" spans="2:14" ht="15.75">
      <c r="B30" s="276" t="s">
        <v>37</v>
      </c>
      <c r="C30" s="267" t="s">
        <v>94</v>
      </c>
      <c r="D30" s="268"/>
      <c r="E30" s="270">
        <v>13340072.39</v>
      </c>
      <c r="F30" s="270">
        <f>2147473.07+42640.25+60547.57</f>
        <v>2250660.8899999997</v>
      </c>
      <c r="G30" s="273"/>
      <c r="H30" s="273"/>
      <c r="I30" s="187"/>
      <c r="J30" s="235">
        <f>60547.57+42640.25+2147473.07</f>
        <v>2250660.8899999997</v>
      </c>
      <c r="K30" s="236">
        <f t="shared" si="0"/>
        <v>0</v>
      </c>
      <c r="M30" s="273"/>
      <c r="N30" s="324"/>
    </row>
    <row r="31" spans="2:14" ht="15.75">
      <c r="B31" s="276" t="s">
        <v>347</v>
      </c>
      <c r="C31" s="267" t="s">
        <v>94</v>
      </c>
      <c r="D31" s="268"/>
      <c r="E31" s="270">
        <v>7322.3</v>
      </c>
      <c r="F31" s="270">
        <f>+3661.15</f>
        <v>3661.15</v>
      </c>
      <c r="G31" s="273"/>
      <c r="H31" s="273"/>
      <c r="I31" s="187"/>
      <c r="J31" s="235">
        <f>+3661.15</f>
        <v>3661.15</v>
      </c>
      <c r="K31" s="236">
        <f t="shared" si="0"/>
        <v>0</v>
      </c>
      <c r="M31" s="273"/>
      <c r="N31" s="324"/>
    </row>
    <row r="32" spans="2:14" ht="15.75">
      <c r="B32" s="276" t="s">
        <v>38</v>
      </c>
      <c r="C32" s="267" t="s">
        <v>95</v>
      </c>
      <c r="D32" s="268"/>
      <c r="E32" s="270">
        <v>7177048.81</v>
      </c>
      <c r="F32" s="270">
        <f>+1552434.94+5423.16+5174.81</f>
        <v>1563032.91</v>
      </c>
      <c r="G32" s="273"/>
      <c r="H32" s="273"/>
      <c r="I32" s="187"/>
      <c r="J32" s="235">
        <f>5174.81+5423.16+1552434.94</f>
        <v>1563032.91</v>
      </c>
      <c r="K32" s="236">
        <f t="shared" si="0"/>
        <v>0</v>
      </c>
      <c r="M32" s="273"/>
      <c r="N32" s="324"/>
    </row>
    <row r="33" spans="2:14" ht="15.75" hidden="1">
      <c r="B33" s="276" t="s">
        <v>348</v>
      </c>
      <c r="C33" s="267" t="s">
        <v>95</v>
      </c>
      <c r="D33" s="268"/>
      <c r="E33" s="270">
        <v>22267.87</v>
      </c>
      <c r="F33" s="270"/>
      <c r="G33" s="273"/>
      <c r="H33" s="273"/>
      <c r="I33" s="187"/>
      <c r="J33" s="235"/>
      <c r="K33" s="236">
        <f t="shared" si="0"/>
        <v>0</v>
      </c>
      <c r="M33" s="273"/>
      <c r="N33" s="324"/>
    </row>
    <row r="34" spans="2:14" ht="15.75">
      <c r="B34" s="276" t="s">
        <v>39</v>
      </c>
      <c r="C34" s="267" t="s">
        <v>96</v>
      </c>
      <c r="D34" s="268"/>
      <c r="E34" s="270">
        <v>10368593.75</v>
      </c>
      <c r="F34" s="270">
        <f>+1537634.87+7774.75+20445.43</f>
        <v>1565855.05</v>
      </c>
      <c r="G34" s="273"/>
      <c r="H34" s="273"/>
      <c r="I34" s="187"/>
      <c r="J34" s="235">
        <f>20445.43+7774.75+1537634.87</f>
        <v>1565855.05</v>
      </c>
      <c r="K34" s="236">
        <f t="shared" si="0"/>
        <v>0</v>
      </c>
      <c r="M34" s="273"/>
      <c r="N34" s="324"/>
    </row>
    <row r="35" spans="2:14" ht="15.75">
      <c r="B35" s="276" t="s">
        <v>40</v>
      </c>
      <c r="C35" s="267" t="s">
        <v>97</v>
      </c>
      <c r="D35" s="268"/>
      <c r="E35" s="270">
        <v>1102139.85</v>
      </c>
      <c r="F35" s="270">
        <f>+23813.65+3912.36+470.16</f>
        <v>28196.170000000002</v>
      </c>
      <c r="G35" s="273"/>
      <c r="H35" s="273"/>
      <c r="I35" s="187"/>
      <c r="J35" s="235">
        <f>470.16+3912.36+23813.65</f>
        <v>28196.170000000002</v>
      </c>
      <c r="K35" s="236">
        <f t="shared" si="0"/>
        <v>0</v>
      </c>
      <c r="M35" s="273"/>
      <c r="N35" s="324"/>
    </row>
    <row r="36" spans="2:14" ht="15.75">
      <c r="B36" s="276" t="s">
        <v>41</v>
      </c>
      <c r="C36" s="267" t="s">
        <v>98</v>
      </c>
      <c r="D36" s="268"/>
      <c r="E36" s="270">
        <v>8325602.37</v>
      </c>
      <c r="F36" s="270">
        <f>+1285987.69+10182.5+18603.73</f>
        <v>1314773.92</v>
      </c>
      <c r="G36" s="273"/>
      <c r="H36" s="273"/>
      <c r="I36" s="187"/>
      <c r="J36" s="235">
        <f>18603.73+10182.5+1285987.69</f>
        <v>1314773.92</v>
      </c>
      <c r="K36" s="236">
        <f t="shared" si="0"/>
        <v>0</v>
      </c>
      <c r="M36" s="273"/>
      <c r="N36" s="324"/>
    </row>
    <row r="37" spans="2:14" ht="15.75">
      <c r="B37" s="276" t="s">
        <v>42</v>
      </c>
      <c r="C37" s="267" t="s">
        <v>99</v>
      </c>
      <c r="D37" s="268"/>
      <c r="E37" s="270">
        <v>12548484.09</v>
      </c>
      <c r="F37" s="270">
        <f>+534329.26+30726.06+185806.92</f>
        <v>750862.2400000001</v>
      </c>
      <c r="G37" s="273"/>
      <c r="H37" s="273"/>
      <c r="I37" s="187"/>
      <c r="J37" s="235">
        <f>185806.92+30726.06+534329.26</f>
        <v>750862.24</v>
      </c>
      <c r="K37" s="236">
        <f t="shared" si="0"/>
        <v>0</v>
      </c>
      <c r="M37" s="273"/>
      <c r="N37" s="324"/>
    </row>
    <row r="38" spans="2:14" ht="15.75">
      <c r="B38" s="276" t="s">
        <v>43</v>
      </c>
      <c r="C38" s="267" t="s">
        <v>100</v>
      </c>
      <c r="D38" s="268"/>
      <c r="E38" s="270">
        <v>2890239.99</v>
      </c>
      <c r="F38" s="270">
        <f>+1918171.57+540.32+86513.22</f>
        <v>2005225.11</v>
      </c>
      <c r="G38" s="273"/>
      <c r="H38" s="273"/>
      <c r="I38" s="187"/>
      <c r="J38" s="235">
        <f>86513.22+540.32+1918171.57</f>
        <v>2005225.11</v>
      </c>
      <c r="K38" s="236">
        <f t="shared" si="0"/>
        <v>0</v>
      </c>
      <c r="M38" s="273"/>
      <c r="N38" s="324"/>
    </row>
    <row r="39" spans="2:14" ht="15.75">
      <c r="B39" s="276" t="s">
        <v>349</v>
      </c>
      <c r="C39" s="267" t="s">
        <v>100</v>
      </c>
      <c r="D39" s="268"/>
      <c r="E39" s="270">
        <v>19726.49</v>
      </c>
      <c r="F39" s="270">
        <f>+4818.74</f>
        <v>4818.74</v>
      </c>
      <c r="G39" s="273"/>
      <c r="H39" s="273"/>
      <c r="I39" s="187"/>
      <c r="J39" s="235">
        <v>4818.74</v>
      </c>
      <c r="K39" s="236">
        <f t="shared" si="0"/>
        <v>0</v>
      </c>
      <c r="M39" s="273"/>
      <c r="N39" s="324"/>
    </row>
    <row r="40" spans="2:14" ht="15.75">
      <c r="B40" s="276" t="s">
        <v>44</v>
      </c>
      <c r="C40" s="267" t="s">
        <v>101</v>
      </c>
      <c r="D40" s="268"/>
      <c r="E40" s="270">
        <v>3115458.68</v>
      </c>
      <c r="F40" s="270">
        <f>38487.39+750+4126.63</f>
        <v>43364.02</v>
      </c>
      <c r="G40" s="273"/>
      <c r="H40" s="273"/>
      <c r="I40" s="187"/>
      <c r="J40" s="235">
        <f>4126.63+750+38487.39</f>
        <v>43364.02</v>
      </c>
      <c r="K40" s="236">
        <f t="shared" si="0"/>
        <v>0</v>
      </c>
      <c r="M40" s="273"/>
      <c r="N40" s="324"/>
    </row>
    <row r="41" spans="2:14" ht="15.75">
      <c r="B41" s="276" t="s">
        <v>45</v>
      </c>
      <c r="C41" s="267" t="s">
        <v>102</v>
      </c>
      <c r="D41" s="268"/>
      <c r="E41" s="270">
        <v>23265</v>
      </c>
      <c r="F41" s="270">
        <f>+1485+1650+2227.5</f>
        <v>5362.5</v>
      </c>
      <c r="G41" s="273"/>
      <c r="H41" s="273"/>
      <c r="I41" s="187"/>
      <c r="J41" s="235">
        <f>2227.5+1650+1485</f>
        <v>5362.5</v>
      </c>
      <c r="K41" s="236">
        <f t="shared" si="0"/>
        <v>0</v>
      </c>
      <c r="M41" s="273"/>
      <c r="N41" s="324"/>
    </row>
    <row r="42" spans="2:14" ht="15.75" hidden="1">
      <c r="B42" s="276" t="s">
        <v>46</v>
      </c>
      <c r="C42" s="267" t="s">
        <v>103</v>
      </c>
      <c r="D42" s="268"/>
      <c r="E42" s="270"/>
      <c r="F42" s="270"/>
      <c r="G42" s="273"/>
      <c r="H42" s="273"/>
      <c r="I42" s="187"/>
      <c r="J42" s="235"/>
      <c r="K42" s="236">
        <f t="shared" si="0"/>
        <v>0</v>
      </c>
      <c r="M42" s="273"/>
      <c r="N42" s="324"/>
    </row>
    <row r="43" spans="2:14" ht="15.75">
      <c r="B43" s="276" t="s">
        <v>47</v>
      </c>
      <c r="C43" s="267" t="s">
        <v>104</v>
      </c>
      <c r="D43" s="268"/>
      <c r="E43" s="270">
        <v>41303.08</v>
      </c>
      <c r="F43" s="270">
        <f>+200</f>
        <v>200</v>
      </c>
      <c r="G43" s="273"/>
      <c r="H43" s="273"/>
      <c r="I43" s="187"/>
      <c r="J43" s="235">
        <f>200</f>
        <v>200</v>
      </c>
      <c r="K43" s="236">
        <f t="shared" si="0"/>
        <v>0</v>
      </c>
      <c r="M43" s="273"/>
      <c r="N43" s="324"/>
    </row>
    <row r="44" spans="2:14" ht="15.75">
      <c r="B44" s="276" t="s">
        <v>48</v>
      </c>
      <c r="C44" s="267" t="s">
        <v>105</v>
      </c>
      <c r="D44" s="268"/>
      <c r="E44" s="270">
        <v>3759645.08</v>
      </c>
      <c r="F44" s="270">
        <f>+438152.93+7803.85+25285.84</f>
        <v>471242.62</v>
      </c>
      <c r="G44" s="273"/>
      <c r="H44" s="273"/>
      <c r="I44" s="187"/>
      <c r="J44" s="235">
        <f>25285.84+7803.85+438152.93</f>
        <v>471242.62</v>
      </c>
      <c r="K44" s="236">
        <f t="shared" si="0"/>
        <v>0</v>
      </c>
      <c r="M44" s="273"/>
      <c r="N44" s="324"/>
    </row>
    <row r="45" spans="2:14" ht="15.75" hidden="1">
      <c r="B45" s="276" t="s">
        <v>49</v>
      </c>
      <c r="C45" s="267" t="s">
        <v>106</v>
      </c>
      <c r="D45" s="268"/>
      <c r="E45" s="270">
        <v>60545.14</v>
      </c>
      <c r="F45" s="270"/>
      <c r="G45" s="277"/>
      <c r="H45" s="277"/>
      <c r="I45" s="189"/>
      <c r="J45" s="235"/>
      <c r="K45" s="236">
        <f t="shared" si="0"/>
        <v>0</v>
      </c>
      <c r="M45" s="277"/>
      <c r="N45" s="324"/>
    </row>
    <row r="46" spans="2:14" ht="15.75">
      <c r="B46" s="276" t="s">
        <v>50</v>
      </c>
      <c r="C46" s="267" t="s">
        <v>107</v>
      </c>
      <c r="D46" s="268"/>
      <c r="E46" s="270">
        <v>2199558.8</v>
      </c>
      <c r="F46" s="270">
        <f>+236399.57+14099.61+5011.35</f>
        <v>255510.53</v>
      </c>
      <c r="G46" s="277"/>
      <c r="H46" s="277"/>
      <c r="I46" s="189"/>
      <c r="J46" s="235">
        <f>5011.35+14099.61+236399.57</f>
        <v>255510.53</v>
      </c>
      <c r="K46" s="236">
        <f t="shared" si="0"/>
        <v>0</v>
      </c>
      <c r="M46" s="277"/>
      <c r="N46" s="324"/>
    </row>
    <row r="47" spans="2:14" ht="15.75">
      <c r="B47" s="276" t="s">
        <v>350</v>
      </c>
      <c r="C47" s="267" t="s">
        <v>107</v>
      </c>
      <c r="D47" s="268"/>
      <c r="E47" s="270">
        <v>192843.62</v>
      </c>
      <c r="F47" s="270">
        <f>+16862.94</f>
        <v>16862.94</v>
      </c>
      <c r="G47" s="277"/>
      <c r="H47" s="277"/>
      <c r="I47" s="189"/>
      <c r="J47" s="235">
        <f>+16862.94</f>
        <v>16862.94</v>
      </c>
      <c r="K47" s="236">
        <f t="shared" si="0"/>
        <v>0</v>
      </c>
      <c r="M47" s="277"/>
      <c r="N47" s="324"/>
    </row>
    <row r="48" spans="2:14" ht="15.75">
      <c r="B48" s="276" t="s">
        <v>51</v>
      </c>
      <c r="C48" s="267" t="s">
        <v>108</v>
      </c>
      <c r="D48" s="268"/>
      <c r="E48" s="270">
        <v>26709.87</v>
      </c>
      <c r="F48" s="270">
        <f>+1575</f>
        <v>1575</v>
      </c>
      <c r="G48" s="277"/>
      <c r="H48" s="277"/>
      <c r="I48" s="189"/>
      <c r="J48" s="235">
        <f>+1575</f>
        <v>1575</v>
      </c>
      <c r="K48" s="236">
        <f t="shared" si="0"/>
        <v>0</v>
      </c>
      <c r="M48" s="277"/>
      <c r="N48" s="324"/>
    </row>
    <row r="49" spans="2:14" ht="15.75" hidden="1">
      <c r="B49" s="276" t="s">
        <v>52</v>
      </c>
      <c r="C49" s="267" t="s">
        <v>109</v>
      </c>
      <c r="D49" s="268"/>
      <c r="E49" s="270"/>
      <c r="F49" s="270"/>
      <c r="G49" s="277"/>
      <c r="H49" s="277"/>
      <c r="I49" s="189"/>
      <c r="J49" s="235"/>
      <c r="K49" s="236">
        <f t="shared" si="0"/>
        <v>0</v>
      </c>
      <c r="M49" s="277"/>
      <c r="N49" s="324"/>
    </row>
    <row r="50" spans="2:14" ht="15.75">
      <c r="B50" s="276" t="s">
        <v>351</v>
      </c>
      <c r="C50" s="267" t="s">
        <v>110</v>
      </c>
      <c r="D50" s="268"/>
      <c r="E50" s="270">
        <v>7825370.53</v>
      </c>
      <c r="F50" s="270">
        <f>+1643731.11+11610.97+29522.69</f>
        <v>1684864.77</v>
      </c>
      <c r="G50" s="277"/>
      <c r="H50" s="277"/>
      <c r="I50" s="189"/>
      <c r="J50" s="235">
        <f>29522.69+11610.97+1643731.11</f>
        <v>1684864.77</v>
      </c>
      <c r="K50" s="236">
        <f t="shared" si="0"/>
        <v>0</v>
      </c>
      <c r="M50" s="277"/>
      <c r="N50" s="324"/>
    </row>
    <row r="51" spans="2:14" ht="15.75">
      <c r="B51" s="276" t="s">
        <v>352</v>
      </c>
      <c r="C51" s="267" t="s">
        <v>110</v>
      </c>
      <c r="D51" s="268"/>
      <c r="E51" s="270">
        <v>98045.13</v>
      </c>
      <c r="F51" s="270">
        <f>+9606.99+891</f>
        <v>10497.99</v>
      </c>
      <c r="G51" s="277"/>
      <c r="H51" s="277"/>
      <c r="I51" s="189"/>
      <c r="J51" s="235">
        <f>+891+9606.99</f>
        <v>10497.99</v>
      </c>
      <c r="K51" s="236">
        <f t="shared" si="0"/>
        <v>0</v>
      </c>
      <c r="M51" s="277"/>
      <c r="N51" s="324"/>
    </row>
    <row r="52" spans="2:14" ht="15.75">
      <c r="B52" s="276" t="s">
        <v>54</v>
      </c>
      <c r="C52" s="267" t="s">
        <v>111</v>
      </c>
      <c r="D52" s="268"/>
      <c r="E52" s="270">
        <v>545571.23</v>
      </c>
      <c r="F52" s="270">
        <f>+62506.23+2188.48+1738.25</f>
        <v>66432.96</v>
      </c>
      <c r="G52" s="277"/>
      <c r="H52" s="277"/>
      <c r="I52" s="189"/>
      <c r="J52" s="235">
        <f>1738.25+2188.48+62506.23</f>
        <v>66432.96</v>
      </c>
      <c r="K52" s="236">
        <f t="shared" si="0"/>
        <v>0</v>
      </c>
      <c r="M52" s="277"/>
      <c r="N52" s="324"/>
    </row>
    <row r="53" spans="2:14" ht="15.75">
      <c r="B53" s="276" t="s">
        <v>55</v>
      </c>
      <c r="C53" s="267" t="s">
        <v>112</v>
      </c>
      <c r="D53" s="268"/>
      <c r="E53" s="270">
        <v>467891.48</v>
      </c>
      <c r="F53" s="270">
        <f>+59318.5+1505.86+1516.9</f>
        <v>62341.26</v>
      </c>
      <c r="G53" s="277"/>
      <c r="H53" s="277"/>
      <c r="I53" s="189"/>
      <c r="J53" s="235">
        <f>1516.9+1505.86+59318.5</f>
        <v>62341.26</v>
      </c>
      <c r="K53" s="236">
        <f t="shared" si="0"/>
        <v>0</v>
      </c>
      <c r="M53" s="277"/>
      <c r="N53" s="324"/>
    </row>
    <row r="54" spans="2:14" ht="15.75" customHeight="1" hidden="1">
      <c r="B54" s="276" t="s">
        <v>56</v>
      </c>
      <c r="C54" s="267" t="s">
        <v>113</v>
      </c>
      <c r="D54" s="268"/>
      <c r="E54" s="270">
        <v>7687.93</v>
      </c>
      <c r="F54" s="270"/>
      <c r="G54" s="277"/>
      <c r="H54" s="277"/>
      <c r="I54" s="189"/>
      <c r="J54" s="235"/>
      <c r="K54" s="236">
        <f t="shared" si="0"/>
        <v>0</v>
      </c>
      <c r="M54" s="277"/>
      <c r="N54" s="324"/>
    </row>
    <row r="55" spans="2:14" ht="15.75" customHeight="1" hidden="1">
      <c r="B55" s="276" t="s">
        <v>57</v>
      </c>
      <c r="C55" s="267" t="s">
        <v>114</v>
      </c>
      <c r="D55" s="268"/>
      <c r="E55" s="270">
        <v>500</v>
      </c>
      <c r="F55" s="270"/>
      <c r="G55" s="277"/>
      <c r="H55" s="277"/>
      <c r="I55" s="189"/>
      <c r="J55" s="235"/>
      <c r="K55" s="236">
        <f t="shared" si="0"/>
        <v>0</v>
      </c>
      <c r="M55" s="277"/>
      <c r="N55" s="324"/>
    </row>
    <row r="56" spans="2:14" ht="15.75">
      <c r="B56" s="276" t="s">
        <v>58</v>
      </c>
      <c r="C56" s="267" t="s">
        <v>115</v>
      </c>
      <c r="D56" s="268"/>
      <c r="E56" s="270">
        <v>433896.47</v>
      </c>
      <c r="F56" s="270">
        <f>+14433.28+5989.5</f>
        <v>20422.78</v>
      </c>
      <c r="G56" s="277"/>
      <c r="H56" s="277"/>
      <c r="I56" s="189"/>
      <c r="J56" s="235">
        <f>5989.5+14433.28</f>
        <v>20422.78</v>
      </c>
      <c r="K56" s="236">
        <f t="shared" si="0"/>
        <v>0</v>
      </c>
      <c r="M56" s="277"/>
      <c r="N56" s="324"/>
    </row>
    <row r="57" spans="2:14" ht="15.75">
      <c r="B57" s="272" t="s">
        <v>0</v>
      </c>
      <c r="C57" s="267">
        <v>583</v>
      </c>
      <c r="D57" s="268"/>
      <c r="E57" s="270">
        <v>5941263.12</v>
      </c>
      <c r="F57" s="270">
        <f>+123189.67+115519.01+139519.4</f>
        <v>378228.07999999996</v>
      </c>
      <c r="G57" s="277">
        <f>(322739.89+358353.53+378228.08)/3</f>
        <v>353107.1666666667</v>
      </c>
      <c r="H57" s="277">
        <f>6000000/4</f>
        <v>1500000</v>
      </c>
      <c r="I57" s="189">
        <v>6000000</v>
      </c>
      <c r="J57" s="235"/>
      <c r="M57" s="277">
        <f>322739.89+358353.53+378228.08</f>
        <v>1059321.5</v>
      </c>
      <c r="N57" s="324">
        <f>+G57*3</f>
        <v>1059321.5</v>
      </c>
    </row>
    <row r="58" spans="2:14" ht="15.75">
      <c r="B58" s="272" t="s">
        <v>59</v>
      </c>
      <c r="C58" s="267">
        <v>584</v>
      </c>
      <c r="D58" s="268"/>
      <c r="E58" s="270">
        <v>1740716.28</v>
      </c>
      <c r="F58" s="270">
        <f>+15300+25770+16500</f>
        <v>57570</v>
      </c>
      <c r="G58" s="277">
        <f>(108550+248850+57570)/3</f>
        <v>138323.33333333334</v>
      </c>
      <c r="H58" s="277">
        <f>2500000/4</f>
        <v>625000</v>
      </c>
      <c r="I58" s="189">
        <v>2500000</v>
      </c>
      <c r="M58" s="277">
        <f>108550+248850+57570</f>
        <v>414970</v>
      </c>
      <c r="N58" s="324">
        <f>+G58*3</f>
        <v>414970</v>
      </c>
    </row>
    <row r="59" spans="2:14" ht="15.75">
      <c r="B59" s="272" t="s">
        <v>60</v>
      </c>
      <c r="C59" s="267">
        <v>585</v>
      </c>
      <c r="D59" s="268"/>
      <c r="E59" s="270"/>
      <c r="F59" s="270"/>
      <c r="G59" s="277"/>
      <c r="H59" s="277">
        <f>100000/4</f>
        <v>25000</v>
      </c>
      <c r="I59" s="189">
        <v>100000</v>
      </c>
      <c r="M59" s="277"/>
      <c r="N59" s="324"/>
    </row>
    <row r="60" spans="2:14" ht="15.75">
      <c r="B60" s="272" t="s">
        <v>61</v>
      </c>
      <c r="C60" s="267">
        <v>586</v>
      </c>
      <c r="D60" s="268"/>
      <c r="E60" s="270">
        <v>84412.92</v>
      </c>
      <c r="F60" s="270">
        <f>+14016.63</f>
        <v>14016.63</v>
      </c>
      <c r="G60" s="277">
        <f>(13716.27+14016.63)/2</f>
        <v>13866.45</v>
      </c>
      <c r="H60" s="277">
        <f>75000/4</f>
        <v>18750</v>
      </c>
      <c r="I60" s="189">
        <v>75000</v>
      </c>
      <c r="M60" s="277">
        <f>13716.27+14016.63</f>
        <v>27732.9</v>
      </c>
      <c r="N60" s="324">
        <f>+G60*2</f>
        <v>27732.9</v>
      </c>
    </row>
    <row r="61" spans="2:14" ht="15.75">
      <c r="B61" s="272" t="s">
        <v>1</v>
      </c>
      <c r="C61" s="267">
        <v>587</v>
      </c>
      <c r="D61" s="268"/>
      <c r="E61" s="270">
        <v>9565431.03</v>
      </c>
      <c r="F61" s="270">
        <f>+1138578.79+961481.04+889327.84</f>
        <v>2989387.67</v>
      </c>
      <c r="G61" s="277">
        <f>(1390728.61+1099250.79+2989387.67)/3</f>
        <v>1826455.6900000002</v>
      </c>
      <c r="H61" s="277">
        <f>5000000/4</f>
        <v>1250000</v>
      </c>
      <c r="I61" s="189">
        <v>5000000</v>
      </c>
      <c r="M61" s="277">
        <f>1390728.61+1099250.79+2989387.67</f>
        <v>5479367.07</v>
      </c>
      <c r="N61" s="324">
        <f>+G61*3</f>
        <v>5479367.07</v>
      </c>
    </row>
    <row r="62" spans="2:14" ht="15.75">
      <c r="B62" s="272" t="s">
        <v>2</v>
      </c>
      <c r="C62" s="267">
        <v>592</v>
      </c>
      <c r="D62" s="268"/>
      <c r="E62" s="270">
        <v>251587.5</v>
      </c>
      <c r="F62" s="270">
        <f>+3290+550+612.5</f>
        <v>4452.5</v>
      </c>
      <c r="G62" s="277">
        <f>(2350+2110+4452.5)/3</f>
        <v>2970.8333333333335</v>
      </c>
      <c r="H62" s="277">
        <f>350000/4</f>
        <v>87500</v>
      </c>
      <c r="I62" s="189">
        <v>350000</v>
      </c>
      <c r="M62" s="277">
        <f>2350+2110+4452.5</f>
        <v>8912.5</v>
      </c>
      <c r="N62" s="324">
        <f>+G62*3</f>
        <v>8912.5</v>
      </c>
    </row>
    <row r="63" spans="2:14" ht="15.75">
      <c r="B63" s="272" t="s">
        <v>62</v>
      </c>
      <c r="C63" s="267">
        <v>593</v>
      </c>
      <c r="D63" s="268"/>
      <c r="E63" s="270">
        <v>3917332.31</v>
      </c>
      <c r="F63" s="270">
        <f>+454479.86+226292.46+94400</f>
        <v>775172.32</v>
      </c>
      <c r="G63" s="277">
        <f>(941815.8+654001.2+775172.32)/3</f>
        <v>790329.7733333333</v>
      </c>
      <c r="H63" s="277">
        <f>4000000/4</f>
        <v>1000000</v>
      </c>
      <c r="I63" s="189">
        <v>4000000</v>
      </c>
      <c r="M63" s="277">
        <f>941815.8+654001.2+775172.32</f>
        <v>2370989.32</v>
      </c>
      <c r="N63" s="324">
        <f>+G63*3</f>
        <v>2370989.32</v>
      </c>
    </row>
    <row r="64" spans="2:14" ht="15.75" hidden="1">
      <c r="B64" s="272" t="s">
        <v>180</v>
      </c>
      <c r="C64" s="267" t="s">
        <v>165</v>
      </c>
      <c r="D64" s="268"/>
      <c r="E64" s="270"/>
      <c r="F64" s="270"/>
      <c r="G64" s="277"/>
      <c r="H64" s="277"/>
      <c r="I64" s="189"/>
      <c r="M64" s="277"/>
      <c r="N64" s="324"/>
    </row>
    <row r="65" spans="2:14" ht="15.75">
      <c r="B65" s="272" t="s">
        <v>187</v>
      </c>
      <c r="C65" s="267">
        <v>599</v>
      </c>
      <c r="D65" s="268"/>
      <c r="E65" s="270">
        <v>38677.3</v>
      </c>
      <c r="F65" s="270">
        <f>+1195.4+300+200</f>
        <v>1695.4</v>
      </c>
      <c r="G65" s="277">
        <f>(1025+11747.9+1695.4)/3</f>
        <v>4822.766666666666</v>
      </c>
      <c r="H65" s="277">
        <f>100000/4</f>
        <v>25000</v>
      </c>
      <c r="I65" s="189">
        <v>100000</v>
      </c>
      <c r="M65" s="277">
        <f>1025+11747.9+1695.4</f>
        <v>14468.3</v>
      </c>
      <c r="N65" s="324">
        <f>+G65*3</f>
        <v>14468.3</v>
      </c>
    </row>
    <row r="66" spans="2:14" ht="15.75">
      <c r="B66" s="272" t="s">
        <v>188</v>
      </c>
      <c r="C66" s="267">
        <v>601</v>
      </c>
      <c r="D66" s="268"/>
      <c r="E66" s="270">
        <v>322415</v>
      </c>
      <c r="F66" s="270">
        <f>+28960+21030+7900</f>
        <v>57890</v>
      </c>
      <c r="G66" s="277">
        <f>(7360+28430+57890)/3</f>
        <v>31226.666666666668</v>
      </c>
      <c r="H66" s="277">
        <f>200000/4</f>
        <v>50000</v>
      </c>
      <c r="I66" s="189">
        <v>200000</v>
      </c>
      <c r="M66" s="277">
        <f>7360+28430+57890</f>
        <v>93680</v>
      </c>
      <c r="N66" s="324">
        <f>+G66*3</f>
        <v>93680</v>
      </c>
    </row>
    <row r="67" spans="2:14" ht="15.75">
      <c r="B67" s="272" t="s">
        <v>65</v>
      </c>
      <c r="C67" s="267">
        <v>605</v>
      </c>
      <c r="D67" s="268"/>
      <c r="E67" s="270"/>
      <c r="F67" s="270"/>
      <c r="G67" s="277">
        <f>(2142990.86+2239972.62+3288493.23)/3</f>
        <v>2557152.236666667</v>
      </c>
      <c r="H67" s="277">
        <f>17000000/4</f>
        <v>4250000</v>
      </c>
      <c r="I67" s="189">
        <v>17000000</v>
      </c>
      <c r="M67" s="277">
        <f>2142990.86+2239972.62+3288493.23</f>
        <v>7671456.710000001</v>
      </c>
      <c r="N67" s="324">
        <f>+G67*3</f>
        <v>7671456.710000001</v>
      </c>
    </row>
    <row r="68" spans="2:14" ht="15.75">
      <c r="B68" s="272" t="s">
        <v>66</v>
      </c>
      <c r="C68" s="267" t="s">
        <v>116</v>
      </c>
      <c r="D68" s="268"/>
      <c r="E68" s="270">
        <v>5717758.78</v>
      </c>
      <c r="F68" s="270">
        <v>129789.13</v>
      </c>
      <c r="G68" s="277"/>
      <c r="H68" s="277"/>
      <c r="I68" s="189"/>
      <c r="J68" s="87">
        <f>44407-65315+57643+93054.13</f>
        <v>129789.13</v>
      </c>
      <c r="M68" s="277"/>
      <c r="N68" s="324"/>
    </row>
    <row r="69" spans="2:14" ht="15.75">
      <c r="B69" s="272" t="s">
        <v>353</v>
      </c>
      <c r="C69" s="267" t="s">
        <v>116</v>
      </c>
      <c r="D69" s="268"/>
      <c r="E69" s="270">
        <v>845453.13</v>
      </c>
      <c r="F69" s="270">
        <v>73880</v>
      </c>
      <c r="G69" s="277"/>
      <c r="H69" s="277"/>
      <c r="I69" s="189"/>
      <c r="J69" s="87">
        <f>6975+29230+37675</f>
        <v>73880</v>
      </c>
      <c r="M69" s="277"/>
      <c r="N69" s="324"/>
    </row>
    <row r="70" spans="2:14" ht="15.75">
      <c r="B70" s="272" t="s">
        <v>67</v>
      </c>
      <c r="C70" s="267" t="s">
        <v>117</v>
      </c>
      <c r="D70" s="268"/>
      <c r="E70" s="270">
        <v>3965980.59</v>
      </c>
      <c r="F70" s="270">
        <v>173584.2</v>
      </c>
      <c r="G70" s="277"/>
      <c r="H70" s="277"/>
      <c r="I70" s="189"/>
      <c r="J70" s="87">
        <f>32990+54450.2+86144</f>
        <v>173584.2</v>
      </c>
      <c r="M70" s="277"/>
      <c r="N70" s="324"/>
    </row>
    <row r="71" spans="2:14" ht="15.75">
      <c r="B71" s="272" t="s">
        <v>68</v>
      </c>
      <c r="C71" s="267" t="s">
        <v>118</v>
      </c>
      <c r="D71" s="268"/>
      <c r="E71" s="270">
        <v>5874250.42</v>
      </c>
      <c r="F71" s="270">
        <v>1444818.2</v>
      </c>
      <c r="G71" s="277"/>
      <c r="H71" s="277"/>
      <c r="I71" s="189"/>
      <c r="J71" s="87">
        <f>279826.37+733928.29+431063.54</f>
        <v>1444818.2</v>
      </c>
      <c r="M71" s="277"/>
      <c r="N71" s="324"/>
    </row>
    <row r="72" spans="2:14" ht="15.75">
      <c r="B72" s="272" t="s">
        <v>69</v>
      </c>
      <c r="C72" s="267" t="s">
        <v>119</v>
      </c>
      <c r="D72" s="268"/>
      <c r="E72" s="270">
        <v>1186589.94</v>
      </c>
      <c r="F72" s="270">
        <v>331022.68</v>
      </c>
      <c r="G72" s="277"/>
      <c r="H72" s="277"/>
      <c r="I72" s="189"/>
      <c r="J72" s="87">
        <f>215002.68+73800+42220</f>
        <v>331022.68</v>
      </c>
      <c r="M72" s="277"/>
      <c r="N72" s="324"/>
    </row>
    <row r="73" spans="2:14" ht="15.75">
      <c r="B73" s="272" t="s">
        <v>70</v>
      </c>
      <c r="C73" s="267" t="s">
        <v>120</v>
      </c>
      <c r="D73" s="268"/>
      <c r="E73" s="270">
        <v>235905</v>
      </c>
      <c r="F73" s="270">
        <v>65305</v>
      </c>
      <c r="G73" s="277"/>
      <c r="H73" s="277"/>
      <c r="I73" s="189"/>
      <c r="J73" s="87">
        <f>18550+29950+16805</f>
        <v>65305</v>
      </c>
      <c r="M73" s="277"/>
      <c r="N73" s="324"/>
    </row>
    <row r="74" spans="2:14" ht="15.75">
      <c r="B74" s="272" t="s">
        <v>71</v>
      </c>
      <c r="C74" s="267" t="s">
        <v>121</v>
      </c>
      <c r="D74" s="268"/>
      <c r="E74" s="270">
        <v>317305</v>
      </c>
      <c r="F74" s="270">
        <v>73805</v>
      </c>
      <c r="G74" s="277"/>
      <c r="H74" s="277" t="s">
        <v>200</v>
      </c>
      <c r="I74" s="189" t="s">
        <v>200</v>
      </c>
      <c r="J74" s="87">
        <f>19995-420+22185+32045</f>
        <v>73805</v>
      </c>
      <c r="M74" s="277"/>
      <c r="N74" s="324"/>
    </row>
    <row r="75" spans="2:14" ht="15.75">
      <c r="B75" s="272" t="s">
        <v>72</v>
      </c>
      <c r="C75" s="267" t="s">
        <v>122</v>
      </c>
      <c r="D75" s="268"/>
      <c r="E75" s="270">
        <v>4269148.02</v>
      </c>
      <c r="F75" s="270">
        <v>996289.02</v>
      </c>
      <c r="G75" s="277"/>
      <c r="H75" s="277"/>
      <c r="I75" s="189"/>
      <c r="J75" s="87">
        <f>217553+519723.02+259013</f>
        <v>996289.02</v>
      </c>
      <c r="M75" s="277"/>
      <c r="N75" s="324"/>
    </row>
    <row r="76" spans="2:14" ht="15.75" hidden="1">
      <c r="B76" s="272" t="s">
        <v>73</v>
      </c>
      <c r="C76" s="267" t="s">
        <v>123</v>
      </c>
      <c r="D76" s="268"/>
      <c r="E76" s="270">
        <v>1125</v>
      </c>
      <c r="F76" s="270"/>
      <c r="G76" s="277"/>
      <c r="H76" s="277"/>
      <c r="I76" s="189"/>
      <c r="M76" s="277"/>
      <c r="N76" s="324"/>
    </row>
    <row r="77" spans="2:14" ht="15.75">
      <c r="B77" s="272" t="s">
        <v>4</v>
      </c>
      <c r="C77" s="267">
        <v>606</v>
      </c>
      <c r="D77" s="268"/>
      <c r="E77" s="270">
        <v>713365</v>
      </c>
      <c r="F77" s="270">
        <f>+56085+52750+44510</f>
        <v>153345</v>
      </c>
      <c r="G77" s="277">
        <f>(117050+145860+153345)/3</f>
        <v>138751.66666666666</v>
      </c>
      <c r="H77" s="277">
        <f>700000/4</f>
        <v>175000</v>
      </c>
      <c r="I77" s="189">
        <v>700000</v>
      </c>
      <c r="M77" s="277">
        <f>117050+145860+153345</f>
        <v>416255</v>
      </c>
      <c r="N77" s="324">
        <f aca="true" t="shared" si="1" ref="N77:N82">+G77*3</f>
        <v>416255</v>
      </c>
    </row>
    <row r="78" spans="2:14" ht="15.75">
      <c r="B78" s="272" t="s">
        <v>189</v>
      </c>
      <c r="C78" s="267">
        <v>609</v>
      </c>
      <c r="D78" s="268"/>
      <c r="E78" s="270">
        <v>2496528.36</v>
      </c>
      <c r="F78" s="270">
        <f>+183431.42+472061.58+151186.85</f>
        <v>806679.85</v>
      </c>
      <c r="G78" s="277">
        <f>(317814.88+383938.94+806679.85)/3</f>
        <v>502811.2233333333</v>
      </c>
      <c r="H78" s="277">
        <f>1000000/4</f>
        <v>250000</v>
      </c>
      <c r="I78" s="189">
        <v>1000000</v>
      </c>
      <c r="M78" s="277">
        <f>317814.88+383938.94+806679.85</f>
        <v>1508433.67</v>
      </c>
      <c r="N78" s="324">
        <f t="shared" si="1"/>
        <v>1508433.67</v>
      </c>
    </row>
    <row r="79" spans="2:14" ht="15.75">
      <c r="B79" s="272" t="s">
        <v>74</v>
      </c>
      <c r="C79" s="267">
        <v>613</v>
      </c>
      <c r="D79" s="268"/>
      <c r="E79" s="270">
        <v>6516449.98</v>
      </c>
      <c r="F79" s="270">
        <f>+340500+295407+240640.72</f>
        <v>876547.72</v>
      </c>
      <c r="G79" s="277">
        <f>(554620+602139.91+876547.72)/3</f>
        <v>677769.2100000001</v>
      </c>
      <c r="H79" s="277">
        <f>8000000/4</f>
        <v>2000000</v>
      </c>
      <c r="I79" s="189">
        <v>8000000</v>
      </c>
      <c r="J79" s="87">
        <f>7630+66740-1100+14050+19195.72+34405+150+150+28075+9425+18700+1300+6820+34200+5450+74450+19450+22300+39080+250+43950+15950+32375+600+852+40000+600+100+2140+104165+19950+22900+31910+210+52350+19750+45925+42100</f>
        <v>876547.72</v>
      </c>
      <c r="M79" s="277">
        <f>554620+602139.91+876547.72</f>
        <v>2033307.6300000001</v>
      </c>
      <c r="N79" s="324">
        <f t="shared" si="1"/>
        <v>2033307.6300000004</v>
      </c>
    </row>
    <row r="80" spans="2:14" ht="15.75">
      <c r="B80" s="272" t="s">
        <v>6</v>
      </c>
      <c r="C80" s="267">
        <v>616</v>
      </c>
      <c r="D80" s="268"/>
      <c r="E80" s="270">
        <v>5229160</v>
      </c>
      <c r="F80" s="270">
        <f>+98150+59260+32880</f>
        <v>190290</v>
      </c>
      <c r="G80" s="277">
        <f>(123930+161811.22+190290)/3</f>
        <v>158677.07333333333</v>
      </c>
      <c r="H80" s="277">
        <f>6500000/4</f>
        <v>1625000</v>
      </c>
      <c r="I80" s="189">
        <v>6500000</v>
      </c>
      <c r="M80" s="277">
        <f>123930+161811.22+190290</f>
        <v>476031.22</v>
      </c>
      <c r="N80" s="324">
        <f t="shared" si="1"/>
        <v>476031.22</v>
      </c>
    </row>
    <row r="81" spans="2:14" ht="15.75">
      <c r="B81" s="272" t="s">
        <v>7</v>
      </c>
      <c r="C81" s="267">
        <v>617</v>
      </c>
      <c r="D81" s="268"/>
      <c r="E81" s="270">
        <v>149159.56</v>
      </c>
      <c r="F81" s="270">
        <f>+1700+6200+7600</f>
        <v>15500</v>
      </c>
      <c r="G81" s="277">
        <f>(53300+95005.95+15500)/3</f>
        <v>54601.98333333334</v>
      </c>
      <c r="H81" s="277">
        <f>400000/4</f>
        <v>100000</v>
      </c>
      <c r="I81" s="189">
        <v>400000</v>
      </c>
      <c r="M81" s="277">
        <f>53300+95005.95+15500</f>
        <v>163805.95</v>
      </c>
      <c r="N81" s="324">
        <f t="shared" si="1"/>
        <v>163805.95</v>
      </c>
    </row>
    <row r="82" spans="2:14" ht="15.75">
      <c r="B82" s="272" t="s">
        <v>8</v>
      </c>
      <c r="C82" s="267">
        <v>619</v>
      </c>
      <c r="D82" s="268"/>
      <c r="E82" s="270"/>
      <c r="F82" s="270"/>
      <c r="G82" s="277">
        <f>(203423+353115+405639)/3</f>
        <v>320725.6666666667</v>
      </c>
      <c r="H82" s="277">
        <f>3000000/4</f>
        <v>750000</v>
      </c>
      <c r="I82" s="189">
        <v>3000000</v>
      </c>
      <c r="M82" s="277">
        <f>203423+353115+405639</f>
        <v>962177</v>
      </c>
      <c r="N82" s="324">
        <f t="shared" si="1"/>
        <v>962177</v>
      </c>
    </row>
    <row r="83" spans="2:14" ht="15.75">
      <c r="B83" s="272" t="s">
        <v>157</v>
      </c>
      <c r="C83" s="267" t="s">
        <v>160</v>
      </c>
      <c r="D83" s="268"/>
      <c r="E83" s="270">
        <v>956453.5</v>
      </c>
      <c r="F83" s="270">
        <v>199929</v>
      </c>
      <c r="G83" s="277"/>
      <c r="H83" s="277"/>
      <c r="I83" s="189"/>
      <c r="J83" s="87">
        <f>52440+76845+70644</f>
        <v>199929</v>
      </c>
      <c r="M83" s="277"/>
      <c r="N83" s="324"/>
    </row>
    <row r="84" spans="2:14" ht="15.75">
      <c r="B84" s="272" t="s">
        <v>158</v>
      </c>
      <c r="C84" s="267" t="s">
        <v>161</v>
      </c>
      <c r="D84" s="268"/>
      <c r="E84" s="270">
        <v>947265</v>
      </c>
      <c r="F84" s="270">
        <v>168485</v>
      </c>
      <c r="G84" s="277"/>
      <c r="H84" s="277"/>
      <c r="I84" s="189"/>
      <c r="J84" s="87">
        <f>42720+66980+58785</f>
        <v>168485</v>
      </c>
      <c r="M84" s="277"/>
      <c r="N84" s="324"/>
    </row>
    <row r="85" spans="2:14" ht="15.75">
      <c r="B85" s="272" t="s">
        <v>159</v>
      </c>
      <c r="C85" s="267" t="s">
        <v>162</v>
      </c>
      <c r="D85" s="268"/>
      <c r="E85" s="270">
        <v>227080</v>
      </c>
      <c r="F85" s="270">
        <v>37225</v>
      </c>
      <c r="G85" s="277"/>
      <c r="H85" s="277"/>
      <c r="I85" s="189"/>
      <c r="J85" s="87">
        <f>12055+8600+16570</f>
        <v>37225</v>
      </c>
      <c r="M85" s="277"/>
      <c r="N85" s="324"/>
    </row>
    <row r="86" spans="2:14" ht="15.75">
      <c r="B86" s="272" t="s">
        <v>9</v>
      </c>
      <c r="C86" s="267">
        <v>623</v>
      </c>
      <c r="D86" s="268"/>
      <c r="E86" s="270">
        <v>5953710.47</v>
      </c>
      <c r="F86" s="270">
        <f>+512595.15+470709.82+526667.53</f>
        <v>1509972.5</v>
      </c>
      <c r="G86" s="277">
        <f>(997679.21+1243983.77+1509972.5)/3</f>
        <v>1250545.16</v>
      </c>
      <c r="H86" s="277">
        <f>6000000/4</f>
        <v>1500000</v>
      </c>
      <c r="I86" s="189">
        <v>6000000</v>
      </c>
      <c r="J86" s="87">
        <f>+1509972.5</f>
        <v>1509972.5</v>
      </c>
      <c r="M86" s="277">
        <f>997679.21+1243983.77+1509972.5</f>
        <v>3751635.48</v>
      </c>
      <c r="N86" s="324">
        <f>+G86*3</f>
        <v>3751635.4799999995</v>
      </c>
    </row>
    <row r="87" spans="2:14" ht="15.75">
      <c r="B87" s="272" t="s">
        <v>180</v>
      </c>
      <c r="C87" s="267">
        <v>628</v>
      </c>
      <c r="D87" s="268"/>
      <c r="E87" s="270">
        <v>3968973.04</v>
      </c>
      <c r="F87" s="270">
        <f>+41372+141699.5+20800</f>
        <v>203871.5</v>
      </c>
      <c r="G87" s="277">
        <f>(69328+163184+203871.5)/3</f>
        <v>145461.16666666666</v>
      </c>
      <c r="H87" s="277">
        <f>5000000/4</f>
        <v>1250000</v>
      </c>
      <c r="I87" s="189">
        <v>5000000</v>
      </c>
      <c r="J87" s="87">
        <f>1000-75+7710+8760+550+2780+200+170+2000+10129+11355+390+160+65+8+310+2300+114612.5+5575+100+4000+17671+11100+780+320+65+16+620+1200</f>
        <v>203871.5</v>
      </c>
      <c r="M87" s="277">
        <f>69328+163184+203871.5</f>
        <v>436383.5</v>
      </c>
      <c r="N87" s="324">
        <f>+G87*3</f>
        <v>436383.5</v>
      </c>
    </row>
    <row r="88" spans="2:14" ht="15.75">
      <c r="B88" s="272" t="s">
        <v>201</v>
      </c>
      <c r="C88" s="267">
        <v>629</v>
      </c>
      <c r="D88" s="268"/>
      <c r="E88" s="270"/>
      <c r="F88" s="270"/>
      <c r="G88" s="277"/>
      <c r="H88" s="277">
        <f>5500000/4</f>
        <v>1375000</v>
      </c>
      <c r="I88" s="189">
        <v>5500000</v>
      </c>
      <c r="M88" s="277"/>
      <c r="N88" s="324"/>
    </row>
    <row r="89" spans="2:14" ht="15.75">
      <c r="B89" s="272" t="s">
        <v>75</v>
      </c>
      <c r="C89" s="267">
        <v>636</v>
      </c>
      <c r="D89" s="268"/>
      <c r="E89" s="270"/>
      <c r="F89" s="270"/>
      <c r="G89" s="277"/>
      <c r="H89" s="277">
        <f>12000000/4</f>
        <v>3000000</v>
      </c>
      <c r="I89" s="189">
        <v>12000000</v>
      </c>
      <c r="M89" s="277">
        <f>2452011.3+2865162.42+5251223.36</f>
        <v>10568397.08</v>
      </c>
      <c r="N89" s="324">
        <f>+G89*3</f>
        <v>0</v>
      </c>
    </row>
    <row r="90" spans="2:14" ht="15.75">
      <c r="B90" s="272" t="s">
        <v>76</v>
      </c>
      <c r="C90" s="267" t="s">
        <v>124</v>
      </c>
      <c r="D90" s="268"/>
      <c r="E90" s="270">
        <v>9864988.07</v>
      </c>
      <c r="F90" s="270">
        <v>2917846.27</v>
      </c>
      <c r="G90" s="277"/>
      <c r="H90" s="277"/>
      <c r="I90" s="189"/>
      <c r="J90" s="87">
        <f>1340794.01+848517.93+728534.33</f>
        <v>2917846.27</v>
      </c>
      <c r="M90" s="277"/>
      <c r="N90" s="324"/>
    </row>
    <row r="91" spans="2:14" ht="15.75" hidden="1">
      <c r="B91" s="272" t="s">
        <v>202</v>
      </c>
      <c r="C91" s="267" t="s">
        <v>203</v>
      </c>
      <c r="D91" s="268"/>
      <c r="E91" s="270">
        <v>26483.5</v>
      </c>
      <c r="F91" s="270"/>
      <c r="G91" s="277"/>
      <c r="H91" s="277"/>
      <c r="I91" s="189"/>
      <c r="M91" s="277"/>
      <c r="N91" s="324"/>
    </row>
    <row r="92" spans="2:14" ht="15.75">
      <c r="B92" s="272" t="s">
        <v>204</v>
      </c>
      <c r="C92" s="267" t="s">
        <v>125</v>
      </c>
      <c r="D92" s="268"/>
      <c r="E92" s="270">
        <v>866928.82</v>
      </c>
      <c r="F92" s="270">
        <v>261667.69</v>
      </c>
      <c r="G92" s="277"/>
      <c r="H92" s="277"/>
      <c r="I92" s="189"/>
      <c r="J92" s="87">
        <f>80573.1+117446.75+63647.84</f>
        <v>261667.69</v>
      </c>
      <c r="M92" s="277"/>
      <c r="N92" s="324"/>
    </row>
    <row r="93" spans="2:14" ht="15.75" hidden="1">
      <c r="B93" s="272" t="s">
        <v>205</v>
      </c>
      <c r="C93" s="267" t="s">
        <v>206</v>
      </c>
      <c r="D93" s="268"/>
      <c r="E93" s="270">
        <v>12448.62</v>
      </c>
      <c r="F93" s="270"/>
      <c r="G93" s="277"/>
      <c r="H93" s="277"/>
      <c r="I93" s="189"/>
      <c r="M93" s="277"/>
      <c r="N93" s="324"/>
    </row>
    <row r="94" spans="2:14" ht="15.75">
      <c r="B94" s="272" t="s">
        <v>207</v>
      </c>
      <c r="C94" s="267" t="s">
        <v>208</v>
      </c>
      <c r="D94" s="268"/>
      <c r="E94" s="270">
        <v>7573884.18</v>
      </c>
      <c r="F94" s="270">
        <v>2071709.4</v>
      </c>
      <c r="G94" s="277"/>
      <c r="H94" s="277"/>
      <c r="I94" s="189"/>
      <c r="J94" s="87">
        <f>1074651.55+451175+545882.85</f>
        <v>2071709.4</v>
      </c>
      <c r="M94" s="277"/>
      <c r="N94" s="324"/>
    </row>
    <row r="95" spans="2:15" ht="15.75">
      <c r="B95" s="272" t="s">
        <v>78</v>
      </c>
      <c r="C95" s="267">
        <v>637</v>
      </c>
      <c r="D95" s="268"/>
      <c r="E95" s="270"/>
      <c r="F95" s="270"/>
      <c r="G95" s="277">
        <f>2158959.08-1783053.36</f>
        <v>375905.72</v>
      </c>
      <c r="H95" s="277">
        <f>8000000/4</f>
        <v>2000000</v>
      </c>
      <c r="I95" s="189">
        <v>8000000</v>
      </c>
      <c r="M95" s="277">
        <f>1933991.4+2377768.18+2165117.65</f>
        <v>6476877.23</v>
      </c>
      <c r="N95" s="324">
        <f>+G95*3</f>
        <v>1127717.16</v>
      </c>
      <c r="O95" s="331">
        <f>(1933991.4+2377768.18+2165117.65)/3</f>
        <v>2158959.0766666667</v>
      </c>
    </row>
    <row r="96" spans="2:14" ht="15.75">
      <c r="B96" s="272" t="s">
        <v>79</v>
      </c>
      <c r="C96" s="267" t="s">
        <v>126</v>
      </c>
      <c r="D96" s="268"/>
      <c r="E96" s="270">
        <v>6991215.56</v>
      </c>
      <c r="F96" s="270">
        <v>1798863.53</v>
      </c>
      <c r="G96" s="277"/>
      <c r="H96" s="277"/>
      <c r="I96" s="189"/>
      <c r="J96" s="87">
        <f>721335.96+508616.3+568911.27</f>
        <v>1798863.53</v>
      </c>
      <c r="M96" s="277"/>
      <c r="N96" s="324"/>
    </row>
    <row r="97" spans="2:14" ht="15.75">
      <c r="B97" s="272" t="s">
        <v>80</v>
      </c>
      <c r="C97" s="267" t="s">
        <v>127</v>
      </c>
      <c r="D97" s="268"/>
      <c r="E97" s="270">
        <v>1374599.16</v>
      </c>
      <c r="F97" s="270">
        <v>320964.12</v>
      </c>
      <c r="G97" s="277"/>
      <c r="H97" s="277"/>
      <c r="I97" s="189"/>
      <c r="J97" s="87">
        <f>103746.44+88927.02+128290.66</f>
        <v>320964.12</v>
      </c>
      <c r="M97" s="277"/>
      <c r="N97" s="324">
        <f>++(756148.4+627606.58+546217)/3</f>
        <v>643323.9933333333</v>
      </c>
    </row>
    <row r="98" spans="2:14" ht="15.75">
      <c r="B98" s="272" t="s">
        <v>81</v>
      </c>
      <c r="C98" s="267" t="s">
        <v>128</v>
      </c>
      <c r="D98" s="268"/>
      <c r="E98" s="270">
        <v>165500</v>
      </c>
      <c r="F98" s="270">
        <v>42990</v>
      </c>
      <c r="G98" s="277"/>
      <c r="H98" s="277"/>
      <c r="I98" s="189"/>
      <c r="J98" s="87">
        <f>17310+11850+13830</f>
        <v>42990</v>
      </c>
      <c r="M98" s="277"/>
      <c r="N98" s="324">
        <f>++(721335.96+508616.3+568911.27)/3</f>
        <v>599621.1766666666</v>
      </c>
    </row>
    <row r="99" spans="2:14" ht="15.75">
      <c r="B99" s="272" t="s">
        <v>82</v>
      </c>
      <c r="C99" s="267" t="s">
        <v>129</v>
      </c>
      <c r="D99" s="268"/>
      <c r="E99" s="270">
        <v>28640</v>
      </c>
      <c r="F99" s="270">
        <v>2200</v>
      </c>
      <c r="G99" s="277"/>
      <c r="H99" s="277"/>
      <c r="I99" s="189"/>
      <c r="J99" s="87">
        <f>1650+350+200</f>
        <v>2200</v>
      </c>
      <c r="M99" s="277"/>
      <c r="N99" s="324">
        <f>++(675984.15+470637.73+473702.7)/3</f>
        <v>540108.1933333332</v>
      </c>
    </row>
    <row r="100" spans="2:14" ht="15.75">
      <c r="B100" s="278" t="s">
        <v>83</v>
      </c>
      <c r="C100" s="267" t="s">
        <v>130</v>
      </c>
      <c r="D100" s="268"/>
      <c r="E100" s="270">
        <v>6700</v>
      </c>
      <c r="F100" s="270">
        <v>100</v>
      </c>
      <c r="G100" s="277"/>
      <c r="H100" s="277"/>
      <c r="I100" s="189"/>
      <c r="J100" s="87">
        <f>+100</f>
        <v>100</v>
      </c>
      <c r="M100" s="277"/>
      <c r="N100" s="324">
        <f>643323.99+599621.18+540108.19</f>
        <v>1783053.3599999999</v>
      </c>
    </row>
    <row r="101" spans="2:14" ht="15.75">
      <c r="B101" s="278" t="s">
        <v>134</v>
      </c>
      <c r="C101" s="267">
        <v>638</v>
      </c>
      <c r="D101" s="268"/>
      <c r="E101" s="270">
        <v>7266227.25</v>
      </c>
      <c r="F101" s="270">
        <f>+705431.93+474340.03+727753.84</f>
        <v>1907525.7999999998</v>
      </c>
      <c r="G101" s="277"/>
      <c r="H101" s="277">
        <f>6000000/4</f>
        <v>1500000</v>
      </c>
      <c r="I101" s="189">
        <v>6000000</v>
      </c>
      <c r="M101" s="277">
        <f>1205536.27+1681329.07+1907525.8</f>
        <v>4794391.14</v>
      </c>
      <c r="N101" s="324">
        <f>+G101*3</f>
        <v>0</v>
      </c>
    </row>
    <row r="102" spans="2:14" ht="15.75">
      <c r="B102" s="278" t="s">
        <v>10</v>
      </c>
      <c r="C102" s="267">
        <v>642</v>
      </c>
      <c r="D102" s="268"/>
      <c r="E102" s="270"/>
      <c r="F102" s="270"/>
      <c r="G102" s="277">
        <f>(1980302.61+1079491+159317+1181832+67029.81)/3</f>
        <v>1489324.14</v>
      </c>
      <c r="H102" s="277"/>
      <c r="I102" s="189"/>
      <c r="M102" s="277">
        <v>4467972.42</v>
      </c>
      <c r="N102" s="324">
        <f>+G102*3</f>
        <v>4467972.42</v>
      </c>
    </row>
    <row r="103" spans="2:14" ht="15.75">
      <c r="B103" s="278" t="s">
        <v>84</v>
      </c>
      <c r="C103" s="267" t="s">
        <v>131</v>
      </c>
      <c r="D103" s="268"/>
      <c r="E103" s="270">
        <f>+591750+3726</f>
        <v>595476</v>
      </c>
      <c r="F103" s="270">
        <v>116267</v>
      </c>
      <c r="G103" s="277"/>
      <c r="H103" s="277">
        <f>200000/4</f>
        <v>50000</v>
      </c>
      <c r="I103" s="189">
        <v>200000</v>
      </c>
      <c r="J103" s="87">
        <f>28540+47753+39974</f>
        <v>116267</v>
      </c>
      <c r="K103" s="87" t="s">
        <v>380</v>
      </c>
      <c r="M103" s="277"/>
      <c r="N103" s="324"/>
    </row>
    <row r="104" spans="2:14" ht="15.75">
      <c r="B104" s="278" t="s">
        <v>85</v>
      </c>
      <c r="C104" s="267" t="s">
        <v>132</v>
      </c>
      <c r="D104" s="268"/>
      <c r="E104" s="270">
        <f>+4937094.71-3726</f>
        <v>4933368.71</v>
      </c>
      <c r="F104" s="270">
        <f>+337826+379593+464413</f>
        <v>1181832</v>
      </c>
      <c r="G104" s="277"/>
      <c r="H104" s="277">
        <f>4000000/4</f>
        <v>1000000</v>
      </c>
      <c r="I104" s="189">
        <v>4000000</v>
      </c>
      <c r="J104" s="87">
        <f>+1181832</f>
        <v>1181832</v>
      </c>
      <c r="M104" s="277"/>
      <c r="N104" s="324"/>
    </row>
    <row r="105" spans="2:14" ht="15.75">
      <c r="B105" s="278" t="s">
        <v>86</v>
      </c>
      <c r="C105" s="267" t="s">
        <v>133</v>
      </c>
      <c r="D105" s="268"/>
      <c r="E105" s="270">
        <v>268119.24</v>
      </c>
      <c r="F105" s="270">
        <v>67029.81</v>
      </c>
      <c r="G105" s="277"/>
      <c r="H105" s="277">
        <f>300000/4</f>
        <v>75000</v>
      </c>
      <c r="I105" s="189">
        <v>300000</v>
      </c>
      <c r="J105" s="87">
        <f>+67029.81</f>
        <v>67029.81</v>
      </c>
      <c r="M105" s="277"/>
      <c r="N105" s="324"/>
    </row>
    <row r="106" spans="2:14" ht="15.75">
      <c r="B106" s="278" t="s">
        <v>178</v>
      </c>
      <c r="C106" s="267" t="s">
        <v>176</v>
      </c>
      <c r="D106" s="268"/>
      <c r="E106" s="270">
        <v>14300</v>
      </c>
      <c r="F106" s="270">
        <v>3600</v>
      </c>
      <c r="G106" s="277"/>
      <c r="H106" s="277">
        <f>50000/4</f>
        <v>12500</v>
      </c>
      <c r="I106" s="189">
        <v>50000</v>
      </c>
      <c r="J106" s="87">
        <f>+3600</f>
        <v>3600</v>
      </c>
      <c r="K106" s="87" t="s">
        <v>380</v>
      </c>
      <c r="M106" s="277"/>
      <c r="N106" s="324"/>
    </row>
    <row r="107" spans="2:14" ht="15.75" hidden="1">
      <c r="B107" s="278" t="s">
        <v>177</v>
      </c>
      <c r="C107" s="267" t="s">
        <v>179</v>
      </c>
      <c r="D107" s="268"/>
      <c r="E107" s="270">
        <v>100000</v>
      </c>
      <c r="F107" s="270"/>
      <c r="G107" s="277"/>
      <c r="H107" s="277"/>
      <c r="I107" s="189"/>
      <c r="M107" s="277"/>
      <c r="N107" s="324"/>
    </row>
    <row r="108" spans="2:14" ht="15.75">
      <c r="B108" s="278" t="s">
        <v>193</v>
      </c>
      <c r="C108" s="267" t="s">
        <v>194</v>
      </c>
      <c r="D108" s="268"/>
      <c r="E108" s="270">
        <v>208834</v>
      </c>
      <c r="F108" s="270">
        <v>39450</v>
      </c>
      <c r="G108" s="277"/>
      <c r="H108" s="277">
        <v>6250</v>
      </c>
      <c r="I108" s="189">
        <v>25000</v>
      </c>
      <c r="J108" s="87">
        <f>15400+10000+14050</f>
        <v>39450</v>
      </c>
      <c r="K108" s="87" t="s">
        <v>383</v>
      </c>
      <c r="M108" s="277"/>
      <c r="N108" s="324"/>
    </row>
    <row r="109" spans="2:14" ht="15.75" hidden="1">
      <c r="B109" s="278" t="s">
        <v>375</v>
      </c>
      <c r="C109" s="267" t="s">
        <v>376</v>
      </c>
      <c r="D109" s="268"/>
      <c r="E109" s="270"/>
      <c r="F109" s="270"/>
      <c r="G109" s="277"/>
      <c r="H109" s="277"/>
      <c r="I109" s="189"/>
      <c r="J109" s="93"/>
      <c r="M109" s="277"/>
      <c r="N109" s="324"/>
    </row>
    <row r="110" spans="1:15" ht="15.75">
      <c r="A110" s="87">
        <v>0</v>
      </c>
      <c r="B110" s="278" t="s">
        <v>163</v>
      </c>
      <c r="C110" s="267">
        <v>648</v>
      </c>
      <c r="D110" s="268"/>
      <c r="E110" s="270"/>
      <c r="F110" s="270"/>
      <c r="G110" s="270">
        <f>12731715.18-9457524.39</f>
        <v>3274190.789999999</v>
      </c>
      <c r="H110" s="277"/>
      <c r="I110" s="189"/>
      <c r="M110" s="277"/>
      <c r="N110" s="324">
        <f>+G110*3</f>
        <v>9822572.369999997</v>
      </c>
      <c r="O110" s="270">
        <f>(6432186.71+11881463.15+591355.29+494674.02+13889485.16+456847.75+260778.47+4188355)/3</f>
        <v>12731715.183333332</v>
      </c>
    </row>
    <row r="111" spans="2:14" ht="15.75" hidden="1">
      <c r="B111" s="278" t="s">
        <v>190</v>
      </c>
      <c r="C111" s="267" t="s">
        <v>191</v>
      </c>
      <c r="D111" s="268"/>
      <c r="E111" s="270"/>
      <c r="F111" s="270"/>
      <c r="G111" s="277"/>
      <c r="H111" s="277"/>
      <c r="I111" s="189"/>
      <c r="M111" s="277">
        <v>38195145.55</v>
      </c>
      <c r="N111" s="324"/>
    </row>
    <row r="112" spans="2:14" ht="15.75">
      <c r="B112" s="278" t="s">
        <v>166</v>
      </c>
      <c r="C112" s="267" t="s">
        <v>167</v>
      </c>
      <c r="D112" s="268"/>
      <c r="E112" s="270">
        <f>+1618883+3986.75</f>
        <v>1622869.75</v>
      </c>
      <c r="F112" s="270">
        <v>582225.89</v>
      </c>
      <c r="G112" s="277"/>
      <c r="H112" s="277">
        <f>4000000/4</f>
        <v>1000000</v>
      </c>
      <c r="I112" s="189">
        <v>4000000</v>
      </c>
      <c r="J112" s="87">
        <f>203067.16+197510.69+181648.04</f>
        <v>582225.89</v>
      </c>
      <c r="K112" s="233" t="s">
        <v>380</v>
      </c>
      <c r="M112" s="277"/>
      <c r="N112" s="324"/>
    </row>
    <row r="113" spans="2:14" ht="15.75" hidden="1">
      <c r="B113" s="278" t="s">
        <v>183</v>
      </c>
      <c r="C113" s="267" t="s">
        <v>184</v>
      </c>
      <c r="D113" s="268"/>
      <c r="E113" s="270"/>
      <c r="F113" s="270"/>
      <c r="G113" s="277"/>
      <c r="H113" s="277"/>
      <c r="I113" s="189"/>
      <c r="M113" s="277"/>
      <c r="N113" s="324"/>
    </row>
    <row r="114" spans="2:14" ht="15.75">
      <c r="B114" s="278" t="s">
        <v>168</v>
      </c>
      <c r="C114" s="267" t="s">
        <v>169</v>
      </c>
      <c r="D114" s="268"/>
      <c r="E114" s="270">
        <f>+2019343.18-3986.75</f>
        <v>2015356.43</v>
      </c>
      <c r="F114" s="270">
        <v>460402.15</v>
      </c>
      <c r="G114" s="277"/>
      <c r="H114" s="277">
        <f>2000000/4</f>
        <v>500000</v>
      </c>
      <c r="I114" s="189">
        <v>2000000</v>
      </c>
      <c r="J114" s="87">
        <f>+3554.4+456847.75</f>
        <v>460402.15</v>
      </c>
      <c r="K114" s="233" t="s">
        <v>380</v>
      </c>
      <c r="M114" s="277"/>
      <c r="N114" s="324"/>
    </row>
    <row r="115" spans="2:14" ht="15.75" hidden="1">
      <c r="B115" s="278" t="s">
        <v>181</v>
      </c>
      <c r="C115" s="267" t="s">
        <v>182</v>
      </c>
      <c r="D115" s="268"/>
      <c r="E115" s="270">
        <v>314.4</v>
      </c>
      <c r="F115" s="270"/>
      <c r="G115" s="277"/>
      <c r="H115" s="277"/>
      <c r="I115" s="189"/>
      <c r="M115" s="277"/>
      <c r="N115" s="324"/>
    </row>
    <row r="116" spans="2:14" ht="15.75">
      <c r="B116" s="278" t="s">
        <v>209</v>
      </c>
      <c r="C116" s="267" t="s">
        <v>192</v>
      </c>
      <c r="D116" s="268"/>
      <c r="E116" s="270">
        <v>30945</v>
      </c>
      <c r="F116" s="270">
        <v>5575</v>
      </c>
      <c r="G116" s="277"/>
      <c r="H116" s="277">
        <f>50000/4</f>
        <v>12500</v>
      </c>
      <c r="I116" s="189">
        <v>50000</v>
      </c>
      <c r="J116" s="87">
        <f>1650+825+3100</f>
        <v>5575</v>
      </c>
      <c r="K116" s="234">
        <v>1042628.04</v>
      </c>
      <c r="M116" s="277"/>
      <c r="N116" s="324"/>
    </row>
    <row r="117" spans="2:13" ht="15.75" hidden="1">
      <c r="B117" s="278" t="s">
        <v>210</v>
      </c>
      <c r="C117" s="267" t="s">
        <v>170</v>
      </c>
      <c r="D117" s="268"/>
      <c r="E117" s="270"/>
      <c r="F117" s="270"/>
      <c r="G117" s="277"/>
      <c r="H117" s="277"/>
      <c r="I117" s="189"/>
      <c r="M117" s="277"/>
    </row>
    <row r="118" spans="2:13" ht="15.75">
      <c r="B118" s="278" t="s">
        <v>211</v>
      </c>
      <c r="C118" s="267" t="s">
        <v>171</v>
      </c>
      <c r="D118" s="268"/>
      <c r="E118" s="270">
        <v>55494024.16</v>
      </c>
      <c r="F118" s="270">
        <f>+4633508.68+4633288.63+4622687.85</f>
        <v>13889485.159999998</v>
      </c>
      <c r="G118" s="277"/>
      <c r="H118" s="277"/>
      <c r="I118" s="189"/>
      <c r="J118" s="87">
        <f>+13889485.16</f>
        <v>13889485.16</v>
      </c>
      <c r="M118" s="277"/>
    </row>
    <row r="119" spans="2:13" ht="15.75">
      <c r="B119" s="278" t="s">
        <v>212</v>
      </c>
      <c r="C119" s="267" t="s">
        <v>172</v>
      </c>
      <c r="D119" s="268"/>
      <c r="E119" s="270">
        <v>2581451.05</v>
      </c>
      <c r="F119" s="270">
        <f>+177647.58+135866.03+181160.41</f>
        <v>494674.02</v>
      </c>
      <c r="G119" s="277"/>
      <c r="H119" s="277">
        <f>13000000/4</f>
        <v>3250000</v>
      </c>
      <c r="I119" s="189">
        <v>13000000</v>
      </c>
      <c r="J119" s="87">
        <f>+494674.02</f>
        <v>494674.02</v>
      </c>
      <c r="M119" s="277"/>
    </row>
    <row r="120" spans="2:13" ht="15.75" hidden="1">
      <c r="B120" s="278" t="s">
        <v>213</v>
      </c>
      <c r="C120" s="267" t="s">
        <v>173</v>
      </c>
      <c r="D120" s="268"/>
      <c r="E120" s="270"/>
      <c r="F120" s="270"/>
      <c r="G120" s="277"/>
      <c r="H120" s="277"/>
      <c r="I120" s="189"/>
      <c r="M120" s="277"/>
    </row>
    <row r="121" spans="2:13" ht="15.75">
      <c r="B121" s="278" t="s">
        <v>214</v>
      </c>
      <c r="C121" s="267" t="s">
        <v>174</v>
      </c>
      <c r="D121" s="268"/>
      <c r="E121" s="270">
        <v>499748.47</v>
      </c>
      <c r="F121" s="270">
        <f>+60740+54212.47+145826</f>
        <v>260778.47</v>
      </c>
      <c r="G121" s="277"/>
      <c r="H121" s="277">
        <f>200000/4</f>
        <v>50000</v>
      </c>
      <c r="I121" s="189">
        <v>200000</v>
      </c>
      <c r="J121" s="87">
        <f>+260778.47</f>
        <v>260778.47</v>
      </c>
      <c r="M121" s="277"/>
    </row>
    <row r="122" spans="2:13" ht="15.75">
      <c r="B122" s="278" t="s">
        <v>215</v>
      </c>
      <c r="C122" s="267" t="s">
        <v>175</v>
      </c>
      <c r="D122" s="268"/>
      <c r="E122" s="270">
        <v>14100502</v>
      </c>
      <c r="F122" s="270">
        <f>+1172540+1460360+1555455</f>
        <v>4188355</v>
      </c>
      <c r="G122" s="277"/>
      <c r="H122" s="277"/>
      <c r="I122" s="189"/>
      <c r="J122" s="87">
        <f>+4188355</f>
        <v>4188355</v>
      </c>
      <c r="M122" s="277"/>
    </row>
    <row r="123" spans="2:14" ht="15.75">
      <c r="B123" s="278" t="s">
        <v>195</v>
      </c>
      <c r="C123" s="267">
        <v>649</v>
      </c>
      <c r="D123" s="268"/>
      <c r="E123" s="270">
        <v>2547086.96</v>
      </c>
      <c r="F123" s="270">
        <f>+144450+217375+136850</f>
        <v>498675</v>
      </c>
      <c r="G123" s="277">
        <f>(336350+470046+498675)/3</f>
        <v>435023.6666666667</v>
      </c>
      <c r="H123" s="277">
        <f>2000000/4</f>
        <v>500000</v>
      </c>
      <c r="I123" s="189">
        <v>2000000</v>
      </c>
      <c r="J123" s="87">
        <f>127850+9000+207375+10000+142450+2000</f>
        <v>498675</v>
      </c>
      <c r="M123" s="277">
        <f>336350+470046+498675</f>
        <v>1305071</v>
      </c>
      <c r="N123" s="325">
        <f>+G123*3</f>
        <v>1305071</v>
      </c>
    </row>
    <row r="124" spans="2:13" ht="15.75" hidden="1">
      <c r="B124" s="278" t="s">
        <v>11</v>
      </c>
      <c r="C124" s="267">
        <v>662</v>
      </c>
      <c r="D124" s="268"/>
      <c r="E124" s="270"/>
      <c r="F124" s="270"/>
      <c r="G124" s="277"/>
      <c r="H124" s="277"/>
      <c r="I124" s="189"/>
      <c r="M124" s="277"/>
    </row>
    <row r="125" spans="2:14" ht="15.75">
      <c r="B125" s="278" t="s">
        <v>12</v>
      </c>
      <c r="C125" s="267">
        <v>664</v>
      </c>
      <c r="D125" s="268"/>
      <c r="E125" s="270">
        <v>327388.18</v>
      </c>
      <c r="F125" s="270">
        <f>+15786.13+11299.85+50021.5</f>
        <v>77107.48</v>
      </c>
      <c r="G125" s="277">
        <f>(5031.61+58846.27+77107.48)/3</f>
        <v>46995.119999999995</v>
      </c>
      <c r="H125" s="277">
        <f>250000/4</f>
        <v>62500</v>
      </c>
      <c r="I125" s="189">
        <v>250000</v>
      </c>
      <c r="M125" s="277">
        <f>5031.61+58846.27+77107.48</f>
        <v>140985.36</v>
      </c>
      <c r="N125" s="325">
        <f>+G125*3</f>
        <v>140985.36</v>
      </c>
    </row>
    <row r="126" spans="2:15" ht="15.75">
      <c r="B126" s="278" t="s">
        <v>13</v>
      </c>
      <c r="C126" s="267">
        <v>665</v>
      </c>
      <c r="D126" s="268"/>
      <c r="E126" s="270">
        <v>1290617660</v>
      </c>
      <c r="F126" s="270">
        <f>+106592464+106592464+106592457</f>
        <v>319777385</v>
      </c>
      <c r="G126" s="297" t="s">
        <v>387</v>
      </c>
      <c r="H126" s="277">
        <f>1408634000/4</f>
        <v>352158500</v>
      </c>
      <c r="I126" s="189">
        <v>1408634000</v>
      </c>
      <c r="M126" s="328">
        <f>355852726+383875499+319777385</f>
        <v>1059505610</v>
      </c>
      <c r="N126" s="327">
        <v>1059505610</v>
      </c>
      <c r="O126" s="327" t="e">
        <f>+G126*3</f>
        <v>#VALUE!</v>
      </c>
    </row>
    <row r="127" spans="2:14" ht="15.75">
      <c r="B127" s="278" t="s">
        <v>14</v>
      </c>
      <c r="C127" s="267">
        <v>670</v>
      </c>
      <c r="D127" s="268"/>
      <c r="E127" s="270">
        <v>1239718.48</v>
      </c>
      <c r="F127" s="270">
        <v>601911.79</v>
      </c>
      <c r="G127" s="277">
        <f>(711544.35+635831.88+601911.79)/3</f>
        <v>649762.6733333333</v>
      </c>
      <c r="H127" s="277">
        <f>2000000/4</f>
        <v>500000</v>
      </c>
      <c r="I127" s="189">
        <v>2000000</v>
      </c>
      <c r="M127" s="277">
        <f>711544.35+635831.88+601911.79</f>
        <v>1949288.02</v>
      </c>
      <c r="N127" s="325">
        <f>+G127*3</f>
        <v>1949288.02</v>
      </c>
    </row>
    <row r="128" spans="2:13" ht="15.75">
      <c r="B128" s="278" t="s">
        <v>216</v>
      </c>
      <c r="C128" s="267">
        <v>672</v>
      </c>
      <c r="D128" s="268"/>
      <c r="E128" s="270">
        <v>749423.26</v>
      </c>
      <c r="F128" s="270"/>
      <c r="G128" s="277"/>
      <c r="H128" s="277">
        <f>800000/4</f>
        <v>200000</v>
      </c>
      <c r="I128" s="189">
        <v>800000</v>
      </c>
      <c r="M128" s="277"/>
    </row>
    <row r="129" spans="2:14" ht="15.75">
      <c r="B129" s="278" t="s">
        <v>164</v>
      </c>
      <c r="C129" s="267">
        <v>678</v>
      </c>
      <c r="D129" s="268"/>
      <c r="E129" s="270">
        <v>125069079.86</v>
      </c>
      <c r="F129" s="270">
        <f>+22209.86+18925+17025</f>
        <v>58159.86</v>
      </c>
      <c r="G129" s="277">
        <f>(77841.14+58159.86)/2</f>
        <v>68000.5</v>
      </c>
      <c r="H129" s="277"/>
      <c r="I129" s="189"/>
      <c r="M129" s="277">
        <f>77841.14+58159.86</f>
        <v>136001</v>
      </c>
      <c r="N129" s="325">
        <f>+G129*2</f>
        <v>136001</v>
      </c>
    </row>
    <row r="130" spans="2:13" ht="15.75" hidden="1">
      <c r="B130" s="278" t="s">
        <v>354</v>
      </c>
      <c r="C130" s="267" t="s">
        <v>355</v>
      </c>
      <c r="D130" s="268"/>
      <c r="E130" s="270"/>
      <c r="F130" s="270"/>
      <c r="G130" s="277"/>
      <c r="H130" s="277"/>
      <c r="I130" s="189"/>
      <c r="M130" s="277"/>
    </row>
    <row r="131" spans="2:13" ht="15.75" hidden="1">
      <c r="B131" s="278" t="s">
        <v>359</v>
      </c>
      <c r="C131" s="267" t="s">
        <v>356</v>
      </c>
      <c r="D131" s="268"/>
      <c r="E131" s="270"/>
      <c r="F131" s="270"/>
      <c r="G131" s="277"/>
      <c r="H131" s="277"/>
      <c r="I131" s="189"/>
      <c r="M131" s="277"/>
    </row>
    <row r="132" spans="2:13" ht="15.75" hidden="1">
      <c r="B132" s="278" t="s">
        <v>360</v>
      </c>
      <c r="C132" s="267" t="s">
        <v>357</v>
      </c>
      <c r="D132" s="268"/>
      <c r="E132" s="270"/>
      <c r="F132" s="270"/>
      <c r="G132" s="277"/>
      <c r="H132" s="277"/>
      <c r="I132" s="189"/>
      <c r="M132" s="277"/>
    </row>
    <row r="133" spans="2:13" ht="15.75" hidden="1">
      <c r="B133" s="278" t="s">
        <v>361</v>
      </c>
      <c r="C133" s="267" t="s">
        <v>358</v>
      </c>
      <c r="D133" s="268"/>
      <c r="E133" s="270"/>
      <c r="F133" s="270"/>
      <c r="G133" s="277"/>
      <c r="H133" s="277"/>
      <c r="I133" s="189"/>
      <c r="M133" s="277"/>
    </row>
    <row r="134" spans="2:13" ht="15.75" hidden="1">
      <c r="B134" s="278" t="s">
        <v>186</v>
      </c>
      <c r="C134" s="267"/>
      <c r="D134" s="268"/>
      <c r="E134" s="268"/>
      <c r="F134" s="270"/>
      <c r="G134" s="279"/>
      <c r="H134" s="279"/>
      <c r="I134" s="191"/>
      <c r="M134" s="279"/>
    </row>
    <row r="135" spans="2:14" ht="15.75" thickBot="1">
      <c r="B135" s="280" t="s">
        <v>217</v>
      </c>
      <c r="C135" s="267"/>
      <c r="D135" s="268"/>
      <c r="E135" s="281">
        <f>SUM(E14:E134)</f>
        <v>1815188218.73</v>
      </c>
      <c r="F135" s="281">
        <f>SUM(F14:F134)</f>
        <v>397133369.35</v>
      </c>
      <c r="G135" s="281">
        <f>44137452.35+282534829.34</f>
        <v>326672281.69</v>
      </c>
      <c r="H135" s="281">
        <f>SUM(H14:H134)</f>
        <v>444533500</v>
      </c>
      <c r="I135" s="193">
        <f>SUM(I14:I134)</f>
        <v>1778134000</v>
      </c>
      <c r="J135" s="87">
        <f>++F135/3</f>
        <v>132377789.78333335</v>
      </c>
      <c r="M135" s="330">
        <f>SUM(M14:M134)</f>
        <v>1240920621.6299999</v>
      </c>
      <c r="N135" s="329">
        <f>SUM(N14:N134)</f>
        <v>1195402206.8333333</v>
      </c>
    </row>
    <row r="136" spans="2:10" ht="16.5" hidden="1" thickTop="1">
      <c r="B136" s="278"/>
      <c r="C136" s="267"/>
      <c r="D136" s="268"/>
      <c r="E136" s="282"/>
      <c r="F136" s="283"/>
      <c r="G136" s="284"/>
      <c r="H136" s="243"/>
      <c r="I136" s="157"/>
      <c r="J136" s="87">
        <v>3894551.120000005</v>
      </c>
    </row>
    <row r="137" spans="1:14" s="101" customFormat="1" ht="16.5" hidden="1" thickTop="1">
      <c r="A137" s="87"/>
      <c r="B137" s="278"/>
      <c r="C137" s="267"/>
      <c r="D137" s="268"/>
      <c r="E137" s="285"/>
      <c r="F137" s="270"/>
      <c r="G137" s="277"/>
      <c r="H137" s="286"/>
      <c r="I137" s="230"/>
      <c r="J137" s="87"/>
      <c r="K137" s="94"/>
      <c r="L137" s="87"/>
      <c r="N137" s="326"/>
    </row>
    <row r="138" spans="1:14" s="101" customFormat="1" ht="15.75" hidden="1" thickTop="1">
      <c r="A138" s="87"/>
      <c r="B138" s="287" t="s">
        <v>218</v>
      </c>
      <c r="C138" s="267"/>
      <c r="D138" s="288"/>
      <c r="E138" s="288"/>
      <c r="F138" s="288"/>
      <c r="G138" s="289"/>
      <c r="H138" s="290"/>
      <c r="I138" s="229"/>
      <c r="J138" s="87"/>
      <c r="K138" s="94"/>
      <c r="L138" s="87"/>
      <c r="N138" s="326"/>
    </row>
    <row r="139" spans="1:14" s="101" customFormat="1" ht="15.75" hidden="1" thickTop="1">
      <c r="A139" s="87"/>
      <c r="B139" s="291" t="s">
        <v>219</v>
      </c>
      <c r="C139" s="267"/>
      <c r="D139" s="288"/>
      <c r="E139" s="288"/>
      <c r="F139" s="288"/>
      <c r="G139" s="289"/>
      <c r="H139" s="290"/>
      <c r="I139" s="229"/>
      <c r="J139" s="87"/>
      <c r="K139" s="94"/>
      <c r="L139" s="87"/>
      <c r="N139" s="326"/>
    </row>
    <row r="140" spans="1:14" s="101" customFormat="1" ht="15.75" hidden="1" thickTop="1">
      <c r="A140" s="87"/>
      <c r="B140" s="291" t="s">
        <v>220</v>
      </c>
      <c r="C140" s="267"/>
      <c r="D140" s="292"/>
      <c r="E140" s="292"/>
      <c r="F140" s="292"/>
      <c r="G140" s="293"/>
      <c r="H140" s="294"/>
      <c r="I140" s="237"/>
      <c r="J140" s="87"/>
      <c r="K140" s="94"/>
      <c r="L140" s="87"/>
      <c r="N140" s="326"/>
    </row>
    <row r="141" spans="1:14" s="101" customFormat="1" ht="16.5" hidden="1" thickTop="1">
      <c r="A141" s="87"/>
      <c r="B141" s="295" t="s">
        <v>221</v>
      </c>
      <c r="C141" s="267">
        <v>701</v>
      </c>
      <c r="D141" s="296"/>
      <c r="E141" s="296">
        <v>202157883.27</v>
      </c>
      <c r="F141" s="296"/>
      <c r="G141" s="297"/>
      <c r="H141" s="298"/>
      <c r="I141" s="238"/>
      <c r="J141" s="87"/>
      <c r="K141" s="94"/>
      <c r="L141" s="87"/>
      <c r="N141" s="326"/>
    </row>
    <row r="142" spans="1:14" s="101" customFormat="1" ht="16.5" hidden="1" thickTop="1">
      <c r="A142" s="87"/>
      <c r="B142" s="295" t="s">
        <v>222</v>
      </c>
      <c r="C142" s="267">
        <v>703</v>
      </c>
      <c r="D142" s="296"/>
      <c r="E142" s="296"/>
      <c r="F142" s="296"/>
      <c r="G142" s="297"/>
      <c r="H142" s="298"/>
      <c r="I142" s="238"/>
      <c r="J142" s="87"/>
      <c r="K142" s="94"/>
      <c r="L142" s="87"/>
      <c r="N142" s="326"/>
    </row>
    <row r="143" spans="1:14" s="101" customFormat="1" ht="16.5" hidden="1" thickTop="1">
      <c r="A143" s="87"/>
      <c r="B143" s="295" t="s">
        <v>223</v>
      </c>
      <c r="C143" s="267">
        <v>705</v>
      </c>
      <c r="D143" s="296"/>
      <c r="E143" s="296"/>
      <c r="F143" s="299"/>
      <c r="G143" s="297"/>
      <c r="H143" s="298"/>
      <c r="I143" s="238"/>
      <c r="J143" s="87"/>
      <c r="K143" s="94"/>
      <c r="L143" s="87"/>
      <c r="N143" s="326"/>
    </row>
    <row r="144" spans="1:14" s="101" customFormat="1" ht="16.5" hidden="1" thickTop="1">
      <c r="A144" s="87"/>
      <c r="B144" s="295" t="s">
        <v>224</v>
      </c>
      <c r="C144" s="267">
        <v>706</v>
      </c>
      <c r="D144" s="296"/>
      <c r="E144" s="296"/>
      <c r="F144" s="296"/>
      <c r="G144" s="297"/>
      <c r="H144" s="298"/>
      <c r="I144" s="238"/>
      <c r="J144" s="87"/>
      <c r="K144" s="94"/>
      <c r="L144" s="87"/>
      <c r="N144" s="326"/>
    </row>
    <row r="145" spans="1:14" s="101" customFormat="1" ht="16.5" hidden="1" thickTop="1">
      <c r="A145" s="87"/>
      <c r="B145" s="295" t="s">
        <v>225</v>
      </c>
      <c r="C145" s="267">
        <v>711</v>
      </c>
      <c r="D145" s="296"/>
      <c r="E145" s="296">
        <v>20762976.85</v>
      </c>
      <c r="F145" s="296"/>
      <c r="G145" s="297"/>
      <c r="H145" s="298"/>
      <c r="I145" s="238"/>
      <c r="J145" s="87"/>
      <c r="K145" s="94"/>
      <c r="L145" s="87"/>
      <c r="N145" s="326"/>
    </row>
    <row r="146" spans="1:14" s="101" customFormat="1" ht="16.5" hidden="1" thickTop="1">
      <c r="A146" s="87"/>
      <c r="B146" s="295" t="s">
        <v>226</v>
      </c>
      <c r="C146" s="267">
        <v>713</v>
      </c>
      <c r="D146" s="296"/>
      <c r="E146" s="296">
        <v>3456965.59</v>
      </c>
      <c r="F146" s="296"/>
      <c r="G146" s="297"/>
      <c r="H146" s="298"/>
      <c r="I146" s="238"/>
      <c r="J146" s="87"/>
      <c r="K146" s="94"/>
      <c r="L146" s="87"/>
      <c r="N146" s="326"/>
    </row>
    <row r="147" spans="1:14" s="101" customFormat="1" ht="16.5" hidden="1" thickTop="1">
      <c r="A147" s="87"/>
      <c r="B147" s="295" t="s">
        <v>227</v>
      </c>
      <c r="C147" s="267">
        <v>714</v>
      </c>
      <c r="D147" s="296"/>
      <c r="E147" s="296">
        <v>741707.53</v>
      </c>
      <c r="F147" s="296"/>
      <c r="G147" s="297"/>
      <c r="H147" s="298"/>
      <c r="I147" s="238"/>
      <c r="J147" s="87"/>
      <c r="K147" s="94"/>
      <c r="L147" s="87"/>
      <c r="N147" s="326"/>
    </row>
    <row r="148" spans="1:14" s="101" customFormat="1" ht="16.5" hidden="1" thickTop="1">
      <c r="A148" s="87"/>
      <c r="B148" s="295" t="s">
        <v>228</v>
      </c>
      <c r="C148" s="267">
        <v>715</v>
      </c>
      <c r="D148" s="296"/>
      <c r="E148" s="296">
        <v>3824000</v>
      </c>
      <c r="F148" s="296"/>
      <c r="G148" s="297"/>
      <c r="H148" s="298"/>
      <c r="I148" s="238"/>
      <c r="J148" s="87"/>
      <c r="K148" s="94"/>
      <c r="L148" s="87"/>
      <c r="N148" s="326"/>
    </row>
    <row r="149" spans="1:14" s="101" customFormat="1" ht="16.5" hidden="1" thickTop="1">
      <c r="A149" s="87"/>
      <c r="B149" s="295" t="s">
        <v>229</v>
      </c>
      <c r="C149" s="267">
        <v>716</v>
      </c>
      <c r="D149" s="296"/>
      <c r="E149" s="296">
        <f>163120.64+1993368.1</f>
        <v>2156488.74</v>
      </c>
      <c r="F149" s="296"/>
      <c r="G149" s="297"/>
      <c r="H149" s="298"/>
      <c r="I149" s="238"/>
      <c r="J149" s="87"/>
      <c r="K149" s="94"/>
      <c r="L149" s="87"/>
      <c r="N149" s="326"/>
    </row>
    <row r="150" spans="1:14" s="101" customFormat="1" ht="16.5" hidden="1" thickTop="1">
      <c r="A150" s="87"/>
      <c r="B150" s="295" t="s">
        <v>230</v>
      </c>
      <c r="C150" s="267">
        <v>717</v>
      </c>
      <c r="D150" s="296"/>
      <c r="E150" s="296">
        <v>1590000</v>
      </c>
      <c r="F150" s="296"/>
      <c r="G150" s="297"/>
      <c r="H150" s="298"/>
      <c r="I150" s="238"/>
      <c r="J150" s="87"/>
      <c r="K150" s="94"/>
      <c r="L150" s="87"/>
      <c r="N150" s="326"/>
    </row>
    <row r="151" spans="1:14" s="101" customFormat="1" ht="16.5" hidden="1" thickTop="1">
      <c r="A151" s="87"/>
      <c r="B151" s="295" t="s">
        <v>231</v>
      </c>
      <c r="C151" s="267">
        <v>719</v>
      </c>
      <c r="D151" s="296"/>
      <c r="E151" s="296">
        <v>49601215.87</v>
      </c>
      <c r="F151" s="296"/>
      <c r="G151" s="297"/>
      <c r="H151" s="298"/>
      <c r="I151" s="238"/>
      <c r="J151" s="87"/>
      <c r="K151" s="94"/>
      <c r="L151" s="87"/>
      <c r="N151" s="326"/>
    </row>
    <row r="152" spans="1:14" s="101" customFormat="1" ht="16.5" hidden="1" thickTop="1">
      <c r="A152" s="87"/>
      <c r="B152" s="295" t="s">
        <v>232</v>
      </c>
      <c r="C152" s="267">
        <v>720</v>
      </c>
      <c r="D152" s="296"/>
      <c r="E152" s="296">
        <v>1794900</v>
      </c>
      <c r="F152" s="296"/>
      <c r="G152" s="297"/>
      <c r="H152" s="298"/>
      <c r="I152" s="238"/>
      <c r="J152" s="87"/>
      <c r="K152" s="94"/>
      <c r="L152" s="87"/>
      <c r="N152" s="326"/>
    </row>
    <row r="153" spans="1:14" s="101" customFormat="1" ht="16.5" hidden="1" thickTop="1">
      <c r="A153" s="87"/>
      <c r="B153" s="295" t="s">
        <v>233</v>
      </c>
      <c r="C153" s="267">
        <v>721</v>
      </c>
      <c r="D153" s="296"/>
      <c r="E153" s="296">
        <v>7633899.1</v>
      </c>
      <c r="F153" s="296"/>
      <c r="G153" s="297"/>
      <c r="H153" s="298"/>
      <c r="I153" s="238"/>
      <c r="J153" s="87"/>
      <c r="K153" s="94"/>
      <c r="L153" s="87"/>
      <c r="N153" s="326"/>
    </row>
    <row r="154" spans="1:14" s="101" customFormat="1" ht="16.5" hidden="1" thickTop="1">
      <c r="A154" s="87"/>
      <c r="B154" s="295" t="s">
        <v>234</v>
      </c>
      <c r="C154" s="267">
        <v>723</v>
      </c>
      <c r="D154" s="296"/>
      <c r="E154" s="296"/>
      <c r="F154" s="296"/>
      <c r="G154" s="297"/>
      <c r="H154" s="298"/>
      <c r="I154" s="238"/>
      <c r="J154" s="87"/>
      <c r="K154" s="94"/>
      <c r="L154" s="87"/>
      <c r="N154" s="326"/>
    </row>
    <row r="155" spans="1:14" s="101" customFormat="1" ht="16.5" hidden="1" thickTop="1">
      <c r="A155" s="87"/>
      <c r="B155" s="295" t="s">
        <v>235</v>
      </c>
      <c r="C155" s="267">
        <v>724</v>
      </c>
      <c r="D155" s="296"/>
      <c r="E155" s="296">
        <v>4796250</v>
      </c>
      <c r="F155" s="296"/>
      <c r="G155" s="297"/>
      <c r="H155" s="298"/>
      <c r="I155" s="238"/>
      <c r="J155" s="87"/>
      <c r="K155" s="94"/>
      <c r="L155" s="87"/>
      <c r="N155" s="326"/>
    </row>
    <row r="156" spans="1:14" s="101" customFormat="1" ht="16.5" hidden="1" thickTop="1">
      <c r="A156" s="87"/>
      <c r="B156" s="295" t="s">
        <v>236</v>
      </c>
      <c r="C156" s="267">
        <v>725</v>
      </c>
      <c r="D156" s="296"/>
      <c r="E156" s="296">
        <v>17491240.73</v>
      </c>
      <c r="F156" s="296"/>
      <c r="G156" s="297"/>
      <c r="H156" s="298"/>
      <c r="I156" s="238"/>
      <c r="J156" s="87"/>
      <c r="K156" s="94"/>
      <c r="L156" s="87"/>
      <c r="N156" s="326"/>
    </row>
    <row r="157" spans="1:14" s="101" customFormat="1" ht="16.5" hidden="1" thickTop="1">
      <c r="A157" s="87"/>
      <c r="B157" s="295" t="s">
        <v>237</v>
      </c>
      <c r="C157" s="267">
        <v>731</v>
      </c>
      <c r="D157" s="296"/>
      <c r="E157" s="296">
        <v>23880275.71</v>
      </c>
      <c r="F157" s="296"/>
      <c r="G157" s="297"/>
      <c r="H157" s="298"/>
      <c r="I157" s="238"/>
      <c r="J157" s="87"/>
      <c r="K157" s="94"/>
      <c r="L157" s="87"/>
      <c r="N157" s="326"/>
    </row>
    <row r="158" spans="1:14" s="101" customFormat="1" ht="16.5" hidden="1" thickTop="1">
      <c r="A158" s="87"/>
      <c r="B158" s="295" t="s">
        <v>238</v>
      </c>
      <c r="C158" s="267">
        <v>732</v>
      </c>
      <c r="D158" s="296"/>
      <c r="E158" s="296">
        <v>3978114.4</v>
      </c>
      <c r="F158" s="296"/>
      <c r="G158" s="297"/>
      <c r="H158" s="298"/>
      <c r="I158" s="238"/>
      <c r="J158" s="87"/>
      <c r="K158" s="94"/>
      <c r="L158" s="87"/>
      <c r="N158" s="326"/>
    </row>
    <row r="159" spans="1:14" s="101" customFormat="1" ht="16.5" hidden="1" thickTop="1">
      <c r="A159" s="87"/>
      <c r="B159" s="295" t="s">
        <v>239</v>
      </c>
      <c r="C159" s="267">
        <v>733</v>
      </c>
      <c r="D159" s="296"/>
      <c r="E159" s="296">
        <v>2238904.14</v>
      </c>
      <c r="F159" s="296"/>
      <c r="G159" s="297"/>
      <c r="H159" s="298"/>
      <c r="I159" s="238"/>
      <c r="J159" s="87"/>
      <c r="K159" s="94"/>
      <c r="L159" s="87"/>
      <c r="N159" s="326"/>
    </row>
    <row r="160" spans="1:14" s="101" customFormat="1" ht="16.5" hidden="1" thickTop="1">
      <c r="A160" s="87"/>
      <c r="B160" s="295" t="s">
        <v>240</v>
      </c>
      <c r="C160" s="267">
        <v>734</v>
      </c>
      <c r="D160" s="296"/>
      <c r="E160" s="296">
        <v>1044920.82</v>
      </c>
      <c r="F160" s="296"/>
      <c r="G160" s="297"/>
      <c r="H160" s="298"/>
      <c r="I160" s="238"/>
      <c r="J160" s="87"/>
      <c r="K160" s="94"/>
      <c r="L160" s="87"/>
      <c r="N160" s="326"/>
    </row>
    <row r="161" spans="1:14" s="101" customFormat="1" ht="16.5" hidden="1" thickTop="1">
      <c r="A161" s="87"/>
      <c r="B161" s="295" t="s">
        <v>241</v>
      </c>
      <c r="C161" s="267">
        <v>742</v>
      </c>
      <c r="D161" s="296"/>
      <c r="E161" s="296">
        <v>3013782.21</v>
      </c>
      <c r="F161" s="296"/>
      <c r="G161" s="297"/>
      <c r="H161" s="298"/>
      <c r="I161" s="238"/>
      <c r="J161" s="87"/>
      <c r="K161" s="94"/>
      <c r="L161" s="87"/>
      <c r="N161" s="326"/>
    </row>
    <row r="162" spans="1:14" s="101" customFormat="1" ht="16.5" hidden="1" thickTop="1">
      <c r="A162" s="87"/>
      <c r="B162" s="295" t="s">
        <v>242</v>
      </c>
      <c r="C162" s="267">
        <v>743</v>
      </c>
      <c r="D162" s="296"/>
      <c r="E162" s="296">
        <v>3451740</v>
      </c>
      <c r="F162" s="296"/>
      <c r="G162" s="297"/>
      <c r="H162" s="298"/>
      <c r="I162" s="238"/>
      <c r="J162" s="87"/>
      <c r="K162" s="94"/>
      <c r="L162" s="87"/>
      <c r="N162" s="326"/>
    </row>
    <row r="163" spans="1:14" s="101" customFormat="1" ht="16.5" hidden="1" thickTop="1">
      <c r="A163" s="87"/>
      <c r="B163" s="295" t="s">
        <v>243</v>
      </c>
      <c r="C163" s="267">
        <v>749</v>
      </c>
      <c r="D163" s="296"/>
      <c r="E163" s="296">
        <v>10861123.73</v>
      </c>
      <c r="F163" s="296"/>
      <c r="G163" s="297"/>
      <c r="H163" s="298"/>
      <c r="I163" s="238"/>
      <c r="J163" s="87"/>
      <c r="K163" s="94"/>
      <c r="L163" s="87"/>
      <c r="N163" s="326"/>
    </row>
    <row r="164" spans="1:14" s="101" customFormat="1" ht="16.5" hidden="1" thickTop="1">
      <c r="A164" s="87"/>
      <c r="B164" s="295" t="s">
        <v>244</v>
      </c>
      <c r="C164" s="267" t="s">
        <v>245</v>
      </c>
      <c r="D164" s="296"/>
      <c r="E164" s="296">
        <v>795000</v>
      </c>
      <c r="F164" s="296"/>
      <c r="G164" s="297"/>
      <c r="H164" s="298"/>
      <c r="I164" s="238"/>
      <c r="J164" s="87"/>
      <c r="K164" s="94"/>
      <c r="L164" s="87"/>
      <c r="N164" s="326"/>
    </row>
    <row r="165" spans="1:14" s="101" customFormat="1" ht="16.5" hidden="1" thickTop="1">
      <c r="A165" s="87"/>
      <c r="B165" s="295" t="s">
        <v>363</v>
      </c>
      <c r="C165" s="267" t="s">
        <v>364</v>
      </c>
      <c r="D165" s="296"/>
      <c r="E165" s="296"/>
      <c r="F165" s="296"/>
      <c r="G165" s="297"/>
      <c r="H165" s="298"/>
      <c r="I165" s="238"/>
      <c r="J165" s="87"/>
      <c r="K165" s="94"/>
      <c r="L165" s="87"/>
      <c r="N165" s="326"/>
    </row>
    <row r="166" spans="1:14" s="101" customFormat="1" ht="15.75" hidden="1" thickTop="1">
      <c r="A166" s="87"/>
      <c r="B166" s="291" t="s">
        <v>246</v>
      </c>
      <c r="C166" s="267"/>
      <c r="D166" s="300">
        <f>SUM(D141:D165)</f>
        <v>0</v>
      </c>
      <c r="E166" s="300">
        <f>SUM(E141:E165)</f>
        <v>365271388.69</v>
      </c>
      <c r="F166" s="300"/>
      <c r="G166" s="301"/>
      <c r="H166" s="302"/>
      <c r="I166" s="239"/>
      <c r="J166" s="87"/>
      <c r="K166" s="94"/>
      <c r="L166" s="87"/>
      <c r="N166" s="326"/>
    </row>
    <row r="167" spans="1:14" s="101" customFormat="1" ht="16.5" hidden="1" thickTop="1">
      <c r="A167" s="87"/>
      <c r="B167" s="291"/>
      <c r="C167" s="267"/>
      <c r="D167" s="296"/>
      <c r="E167" s="296"/>
      <c r="F167" s="296"/>
      <c r="G167" s="297"/>
      <c r="H167" s="298"/>
      <c r="I167" s="238"/>
      <c r="J167" s="87"/>
      <c r="K167" s="94"/>
      <c r="L167" s="87"/>
      <c r="N167" s="326"/>
    </row>
    <row r="168" spans="1:14" s="101" customFormat="1" ht="16.5" hidden="1" thickTop="1">
      <c r="A168" s="87"/>
      <c r="B168" s="291"/>
      <c r="C168" s="267"/>
      <c r="D168" s="296"/>
      <c r="E168" s="296"/>
      <c r="F168" s="296"/>
      <c r="G168" s="297"/>
      <c r="H168" s="298"/>
      <c r="I168" s="238"/>
      <c r="J168" s="87"/>
      <c r="K168" s="94"/>
      <c r="L168" s="87"/>
      <c r="N168" s="326"/>
    </row>
    <row r="169" spans="1:14" s="101" customFormat="1" ht="16.5" hidden="1" thickTop="1">
      <c r="A169" s="87"/>
      <c r="B169" s="291" t="s">
        <v>247</v>
      </c>
      <c r="C169" s="267"/>
      <c r="D169" s="296"/>
      <c r="E169" s="296"/>
      <c r="F169" s="296"/>
      <c r="G169" s="297"/>
      <c r="H169" s="298"/>
      <c r="I169" s="238"/>
      <c r="J169" s="87"/>
      <c r="K169" s="94"/>
      <c r="L169" s="87"/>
      <c r="N169" s="326"/>
    </row>
    <row r="170" spans="1:14" s="101" customFormat="1" ht="16.5" hidden="1" thickTop="1">
      <c r="A170" s="87"/>
      <c r="B170" s="295" t="s">
        <v>248</v>
      </c>
      <c r="C170" s="267">
        <v>751</v>
      </c>
      <c r="D170" s="296"/>
      <c r="E170" s="296">
        <v>10858581.94</v>
      </c>
      <c r="F170" s="296"/>
      <c r="G170" s="297"/>
      <c r="H170" s="298"/>
      <c r="I170" s="238"/>
      <c r="J170" s="87"/>
      <c r="K170" s="94"/>
      <c r="L170" s="87"/>
      <c r="N170" s="326"/>
    </row>
    <row r="171" spans="1:14" s="101" customFormat="1" ht="16.5" hidden="1" thickTop="1">
      <c r="A171" s="87"/>
      <c r="B171" s="295" t="s">
        <v>249</v>
      </c>
      <c r="C171" s="267">
        <v>752</v>
      </c>
      <c r="D171" s="296"/>
      <c r="E171" s="296">
        <v>109919.25</v>
      </c>
      <c r="F171" s="296"/>
      <c r="G171" s="297"/>
      <c r="H171" s="298"/>
      <c r="I171" s="238"/>
      <c r="J171" s="87"/>
      <c r="K171" s="94"/>
      <c r="L171" s="87"/>
      <c r="N171" s="326"/>
    </row>
    <row r="172" spans="1:14" s="101" customFormat="1" ht="16.5" hidden="1" thickTop="1">
      <c r="A172" s="87"/>
      <c r="B172" s="295" t="s">
        <v>250</v>
      </c>
      <c r="C172" s="267">
        <v>753</v>
      </c>
      <c r="D172" s="296"/>
      <c r="E172" s="296">
        <v>5581179.18</v>
      </c>
      <c r="F172" s="296"/>
      <c r="G172" s="297"/>
      <c r="H172" s="298"/>
      <c r="I172" s="238"/>
      <c r="J172" s="87"/>
      <c r="K172" s="94"/>
      <c r="L172" s="87"/>
      <c r="N172" s="326"/>
    </row>
    <row r="173" spans="1:14" s="101" customFormat="1" ht="16.5" hidden="1" thickTop="1">
      <c r="A173" s="87"/>
      <c r="B173" s="295" t="s">
        <v>251</v>
      </c>
      <c r="C173" s="267">
        <v>755</v>
      </c>
      <c r="D173" s="296"/>
      <c r="E173" s="296">
        <v>11872939.45</v>
      </c>
      <c r="F173" s="296"/>
      <c r="G173" s="297"/>
      <c r="H173" s="298"/>
      <c r="I173" s="238"/>
      <c r="J173" s="87"/>
      <c r="K173" s="94"/>
      <c r="L173" s="87"/>
      <c r="N173" s="326"/>
    </row>
    <row r="174" spans="1:14" s="101" customFormat="1" ht="16.5" hidden="1" thickTop="1">
      <c r="A174" s="87"/>
      <c r="B174" s="295" t="s">
        <v>252</v>
      </c>
      <c r="C174" s="267">
        <v>756</v>
      </c>
      <c r="D174" s="296"/>
      <c r="E174" s="296">
        <v>917325.5</v>
      </c>
      <c r="F174" s="296"/>
      <c r="G174" s="297"/>
      <c r="H174" s="298"/>
      <c r="I174" s="238"/>
      <c r="J174" s="87"/>
      <c r="K174" s="94"/>
      <c r="L174" s="87"/>
      <c r="N174" s="326"/>
    </row>
    <row r="175" spans="1:14" s="101" customFormat="1" ht="16.5" hidden="1" thickTop="1">
      <c r="A175" s="87"/>
      <c r="B175" s="295" t="s">
        <v>253</v>
      </c>
      <c r="C175" s="267">
        <v>757</v>
      </c>
      <c r="D175" s="296"/>
      <c r="E175" s="296">
        <v>562072</v>
      </c>
      <c r="F175" s="296"/>
      <c r="G175" s="297"/>
      <c r="H175" s="298"/>
      <c r="I175" s="238"/>
      <c r="J175" s="87"/>
      <c r="K175" s="94"/>
      <c r="L175" s="87"/>
      <c r="N175" s="326"/>
    </row>
    <row r="176" spans="1:14" s="101" customFormat="1" ht="16.5" hidden="1" thickTop="1">
      <c r="A176" s="87"/>
      <c r="B176" s="295" t="s">
        <v>254</v>
      </c>
      <c r="C176" s="267">
        <v>758</v>
      </c>
      <c r="D176" s="296"/>
      <c r="E176" s="296">
        <v>442972.5</v>
      </c>
      <c r="F176" s="296"/>
      <c r="G176" s="297"/>
      <c r="H176" s="298"/>
      <c r="I176" s="238"/>
      <c r="J176" s="87"/>
      <c r="K176" s="94"/>
      <c r="L176" s="87"/>
      <c r="N176" s="326"/>
    </row>
    <row r="177" spans="1:14" s="101" customFormat="1" ht="16.5" hidden="1" thickTop="1">
      <c r="A177" s="87"/>
      <c r="B177" s="295" t="s">
        <v>255</v>
      </c>
      <c r="C177" s="267">
        <v>759</v>
      </c>
      <c r="D177" s="296"/>
      <c r="E177" s="296">
        <v>10455308.95</v>
      </c>
      <c r="F177" s="296"/>
      <c r="G177" s="297"/>
      <c r="H177" s="298"/>
      <c r="I177" s="238"/>
      <c r="J177" s="87"/>
      <c r="K177" s="94"/>
      <c r="L177" s="87"/>
      <c r="N177" s="326"/>
    </row>
    <row r="178" spans="1:14" s="101" customFormat="1" ht="16.5" hidden="1" thickTop="1">
      <c r="A178" s="87"/>
      <c r="B178" s="295" t="s">
        <v>256</v>
      </c>
      <c r="C178" s="267">
        <v>760</v>
      </c>
      <c r="D178" s="296"/>
      <c r="E178" s="296">
        <v>3951419.8</v>
      </c>
      <c r="F178" s="296"/>
      <c r="G178" s="297"/>
      <c r="H178" s="298"/>
      <c r="I178" s="238"/>
      <c r="J178" s="87"/>
      <c r="K178" s="94"/>
      <c r="L178" s="87"/>
      <c r="N178" s="326"/>
    </row>
    <row r="179" spans="1:14" s="101" customFormat="1" ht="16.5" hidden="1" thickTop="1">
      <c r="A179" s="87"/>
      <c r="B179" s="295" t="s">
        <v>257</v>
      </c>
      <c r="C179" s="267">
        <v>761</v>
      </c>
      <c r="D179" s="296"/>
      <c r="E179" s="296">
        <v>73915430.24</v>
      </c>
      <c r="F179" s="296"/>
      <c r="G179" s="297"/>
      <c r="H179" s="298"/>
      <c r="I179" s="238"/>
      <c r="J179" s="87"/>
      <c r="K179" s="94"/>
      <c r="L179" s="87"/>
      <c r="N179" s="326"/>
    </row>
    <row r="180" spans="1:14" s="101" customFormat="1" ht="16.5" hidden="1" thickTop="1">
      <c r="A180" s="87"/>
      <c r="B180" s="295" t="s">
        <v>258</v>
      </c>
      <c r="C180" s="267">
        <v>762</v>
      </c>
      <c r="D180" s="296"/>
      <c r="E180" s="296">
        <v>757994.75</v>
      </c>
      <c r="F180" s="296"/>
      <c r="G180" s="297"/>
      <c r="H180" s="298"/>
      <c r="I180" s="238"/>
      <c r="J180" s="87"/>
      <c r="K180" s="94"/>
      <c r="L180" s="87"/>
      <c r="N180" s="326"/>
    </row>
    <row r="181" spans="1:14" s="101" customFormat="1" ht="16.5" hidden="1" thickTop="1">
      <c r="A181" s="87"/>
      <c r="B181" s="295" t="s">
        <v>259</v>
      </c>
      <c r="C181" s="267">
        <v>763</v>
      </c>
      <c r="D181" s="296"/>
      <c r="E181" s="296"/>
      <c r="F181" s="296"/>
      <c r="G181" s="297"/>
      <c r="H181" s="298"/>
      <c r="I181" s="238"/>
      <c r="J181" s="87"/>
      <c r="K181" s="94"/>
      <c r="L181" s="87"/>
      <c r="N181" s="326"/>
    </row>
    <row r="182" spans="1:14" s="101" customFormat="1" ht="16.5" hidden="1" thickTop="1">
      <c r="A182" s="87"/>
      <c r="B182" s="295" t="s">
        <v>260</v>
      </c>
      <c r="C182" s="267">
        <v>765</v>
      </c>
      <c r="D182" s="296"/>
      <c r="E182" s="296">
        <v>21034544.92</v>
      </c>
      <c r="F182" s="296"/>
      <c r="G182" s="297"/>
      <c r="H182" s="298"/>
      <c r="I182" s="238"/>
      <c r="J182" s="87"/>
      <c r="K182" s="94"/>
      <c r="L182" s="87"/>
      <c r="N182" s="326"/>
    </row>
    <row r="183" spans="1:14" s="101" customFormat="1" ht="16.5" hidden="1" thickTop="1">
      <c r="A183" s="87"/>
      <c r="B183" s="295" t="s">
        <v>261</v>
      </c>
      <c r="C183" s="267">
        <v>766</v>
      </c>
      <c r="D183" s="296"/>
      <c r="E183" s="296">
        <v>6869135.07</v>
      </c>
      <c r="F183" s="296"/>
      <c r="G183" s="297"/>
      <c r="H183" s="298"/>
      <c r="I183" s="238"/>
      <c r="J183" s="87"/>
      <c r="K183" s="94"/>
      <c r="L183" s="87"/>
      <c r="N183" s="326"/>
    </row>
    <row r="184" spans="1:14" s="101" customFormat="1" ht="16.5" hidden="1" thickTop="1">
      <c r="A184" s="87"/>
      <c r="B184" s="295" t="s">
        <v>262</v>
      </c>
      <c r="C184" s="267">
        <v>767</v>
      </c>
      <c r="D184" s="296"/>
      <c r="E184" s="296">
        <v>65664314.76</v>
      </c>
      <c r="F184" s="296"/>
      <c r="G184" s="297"/>
      <c r="H184" s="298"/>
      <c r="I184" s="238"/>
      <c r="J184" s="87"/>
      <c r="K184" s="94"/>
      <c r="L184" s="87"/>
      <c r="N184" s="326"/>
    </row>
    <row r="185" spans="1:14" s="101" customFormat="1" ht="16.5" hidden="1" thickTop="1">
      <c r="A185" s="87"/>
      <c r="B185" s="295" t="s">
        <v>263</v>
      </c>
      <c r="C185" s="267">
        <v>771</v>
      </c>
      <c r="D185" s="296"/>
      <c r="E185" s="296">
        <v>30072.15</v>
      </c>
      <c r="F185" s="296"/>
      <c r="G185" s="297"/>
      <c r="H185" s="298"/>
      <c r="I185" s="238"/>
      <c r="J185" s="87"/>
      <c r="K185" s="94"/>
      <c r="L185" s="87"/>
      <c r="N185" s="326"/>
    </row>
    <row r="186" spans="1:14" s="101" customFormat="1" ht="16.5" hidden="1" thickTop="1">
      <c r="A186" s="87"/>
      <c r="B186" s="295" t="s">
        <v>264</v>
      </c>
      <c r="C186" s="267">
        <v>772</v>
      </c>
      <c r="D186" s="296"/>
      <c r="E186" s="296">
        <v>1933985.5</v>
      </c>
      <c r="F186" s="296"/>
      <c r="G186" s="297"/>
      <c r="H186" s="298"/>
      <c r="I186" s="238"/>
      <c r="J186" s="87"/>
      <c r="K186" s="94"/>
      <c r="L186" s="87"/>
      <c r="N186" s="326"/>
    </row>
    <row r="187" spans="1:14" s="101" customFormat="1" ht="16.5" hidden="1" thickTop="1">
      <c r="A187" s="87"/>
      <c r="B187" s="295" t="s">
        <v>265</v>
      </c>
      <c r="C187" s="267">
        <v>773</v>
      </c>
      <c r="D187" s="296"/>
      <c r="E187" s="296">
        <v>1112285.42</v>
      </c>
      <c r="F187" s="296"/>
      <c r="G187" s="297"/>
      <c r="H187" s="298"/>
      <c r="I187" s="238"/>
      <c r="J187" s="87"/>
      <c r="K187" s="94"/>
      <c r="L187" s="87"/>
      <c r="N187" s="326"/>
    </row>
    <row r="188" spans="1:14" s="101" customFormat="1" ht="16.5" hidden="1" thickTop="1">
      <c r="A188" s="87"/>
      <c r="B188" s="295" t="s">
        <v>266</v>
      </c>
      <c r="C188" s="267">
        <v>774</v>
      </c>
      <c r="D188" s="296"/>
      <c r="E188" s="296">
        <v>298883.23</v>
      </c>
      <c r="F188" s="296"/>
      <c r="G188" s="297"/>
      <c r="H188" s="298"/>
      <c r="I188" s="238"/>
      <c r="J188" s="87"/>
      <c r="K188" s="94"/>
      <c r="L188" s="87"/>
      <c r="N188" s="326"/>
    </row>
    <row r="189" spans="1:14" s="101" customFormat="1" ht="16.5" hidden="1" thickTop="1">
      <c r="A189" s="87"/>
      <c r="B189" s="295" t="s">
        <v>267</v>
      </c>
      <c r="C189" s="267">
        <v>775</v>
      </c>
      <c r="D189" s="296"/>
      <c r="E189" s="296"/>
      <c r="F189" s="296"/>
      <c r="G189" s="297"/>
      <c r="H189" s="298"/>
      <c r="I189" s="238"/>
      <c r="J189" s="87"/>
      <c r="K189" s="94"/>
      <c r="L189" s="87"/>
      <c r="N189" s="326"/>
    </row>
    <row r="190" spans="1:14" s="101" customFormat="1" ht="16.5" hidden="1" thickTop="1">
      <c r="A190" s="87"/>
      <c r="B190" s="295" t="s">
        <v>268</v>
      </c>
      <c r="C190" s="267">
        <v>778</v>
      </c>
      <c r="D190" s="296"/>
      <c r="E190" s="296"/>
      <c r="F190" s="296"/>
      <c r="G190" s="297"/>
      <c r="H190" s="298"/>
      <c r="I190" s="238"/>
      <c r="J190" s="87"/>
      <c r="K190" s="94"/>
      <c r="L190" s="87"/>
      <c r="N190" s="326"/>
    </row>
    <row r="191" spans="1:14" s="101" customFormat="1" ht="16.5" hidden="1" thickTop="1">
      <c r="A191" s="87"/>
      <c r="B191" s="295" t="s">
        <v>269</v>
      </c>
      <c r="C191" s="267">
        <v>780</v>
      </c>
      <c r="D191" s="296"/>
      <c r="E191" s="296">
        <v>9087088.33</v>
      </c>
      <c r="F191" s="296"/>
      <c r="G191" s="297"/>
      <c r="H191" s="298"/>
      <c r="I191" s="238"/>
      <c r="J191" s="87"/>
      <c r="K191" s="94"/>
      <c r="L191" s="87"/>
      <c r="N191" s="326"/>
    </row>
    <row r="192" spans="1:14" s="101" customFormat="1" ht="16.5" hidden="1" thickTop="1">
      <c r="A192" s="87"/>
      <c r="B192" s="295" t="s">
        <v>270</v>
      </c>
      <c r="C192" s="267">
        <v>781</v>
      </c>
      <c r="D192" s="296"/>
      <c r="E192" s="296">
        <v>3431632.26</v>
      </c>
      <c r="F192" s="296"/>
      <c r="G192" s="297"/>
      <c r="H192" s="298"/>
      <c r="I192" s="238"/>
      <c r="J192" s="87"/>
      <c r="K192" s="94"/>
      <c r="L192" s="87"/>
      <c r="N192" s="326"/>
    </row>
    <row r="193" spans="1:14" s="101" customFormat="1" ht="16.5" hidden="1" thickTop="1">
      <c r="A193" s="87"/>
      <c r="B193" s="295" t="s">
        <v>271</v>
      </c>
      <c r="C193" s="267">
        <v>782</v>
      </c>
      <c r="D193" s="296"/>
      <c r="E193" s="296">
        <v>2300701.84</v>
      </c>
      <c r="F193" s="296"/>
      <c r="G193" s="297"/>
      <c r="H193" s="298"/>
      <c r="I193" s="238"/>
      <c r="J193" s="87"/>
      <c r="K193" s="94"/>
      <c r="L193" s="87"/>
      <c r="N193" s="326"/>
    </row>
    <row r="194" spans="1:14" s="101" customFormat="1" ht="16.5" hidden="1" thickTop="1">
      <c r="A194" s="87"/>
      <c r="B194" s="295" t="s">
        <v>272</v>
      </c>
      <c r="C194" s="267">
        <v>783</v>
      </c>
      <c r="D194" s="296"/>
      <c r="E194" s="296">
        <v>4214151.58</v>
      </c>
      <c r="F194" s="296"/>
      <c r="G194" s="297"/>
      <c r="H194" s="298"/>
      <c r="I194" s="238"/>
      <c r="J194" s="87"/>
      <c r="K194" s="94"/>
      <c r="L194" s="87"/>
      <c r="N194" s="326"/>
    </row>
    <row r="195" spans="1:14" s="101" customFormat="1" ht="16.5" hidden="1" thickTop="1">
      <c r="A195" s="87"/>
      <c r="B195" s="295" t="s">
        <v>273</v>
      </c>
      <c r="C195" s="267">
        <v>784</v>
      </c>
      <c r="D195" s="296"/>
      <c r="E195" s="296">
        <v>29552.35</v>
      </c>
      <c r="F195" s="296"/>
      <c r="G195" s="297"/>
      <c r="H195" s="298"/>
      <c r="I195" s="238"/>
      <c r="J195" s="87"/>
      <c r="K195" s="94"/>
      <c r="L195" s="87"/>
      <c r="N195" s="326"/>
    </row>
    <row r="196" spans="1:14" s="101" customFormat="1" ht="16.5" hidden="1" thickTop="1">
      <c r="A196" s="87"/>
      <c r="B196" s="295" t="s">
        <v>274</v>
      </c>
      <c r="C196" s="267">
        <v>786</v>
      </c>
      <c r="D196" s="296"/>
      <c r="E196" s="296">
        <v>373400</v>
      </c>
      <c r="F196" s="296"/>
      <c r="G196" s="297"/>
      <c r="H196" s="298"/>
      <c r="I196" s="238"/>
      <c r="J196" s="87"/>
      <c r="K196" s="94"/>
      <c r="L196" s="87"/>
      <c r="N196" s="326"/>
    </row>
    <row r="197" spans="1:14" s="101" customFormat="1" ht="16.5" hidden="1" thickTop="1">
      <c r="A197" s="87"/>
      <c r="B197" s="295" t="s">
        <v>275</v>
      </c>
      <c r="C197" s="267">
        <v>787</v>
      </c>
      <c r="D197" s="296"/>
      <c r="E197" s="296"/>
      <c r="F197" s="296"/>
      <c r="G197" s="297"/>
      <c r="H197" s="298"/>
      <c r="I197" s="238"/>
      <c r="J197" s="87"/>
      <c r="K197" s="94"/>
      <c r="L197" s="87"/>
      <c r="N197" s="326"/>
    </row>
    <row r="198" spans="1:14" s="101" customFormat="1" ht="16.5" hidden="1" thickTop="1">
      <c r="A198" s="87"/>
      <c r="B198" s="295" t="s">
        <v>276</v>
      </c>
      <c r="C198" s="267">
        <v>791</v>
      </c>
      <c r="D198" s="296"/>
      <c r="E198" s="296"/>
      <c r="F198" s="296"/>
      <c r="G198" s="297"/>
      <c r="H198" s="298"/>
      <c r="I198" s="238"/>
      <c r="J198" s="87"/>
      <c r="K198" s="94"/>
      <c r="L198" s="87"/>
      <c r="N198" s="326"/>
    </row>
    <row r="199" spans="1:14" s="101" customFormat="1" ht="16.5" hidden="1" thickTop="1">
      <c r="A199" s="87"/>
      <c r="B199" s="295" t="s">
        <v>365</v>
      </c>
      <c r="C199" s="267">
        <v>792</v>
      </c>
      <c r="D199" s="296"/>
      <c r="E199" s="296">
        <v>174720</v>
      </c>
      <c r="F199" s="296"/>
      <c r="G199" s="297"/>
      <c r="H199" s="298"/>
      <c r="I199" s="238"/>
      <c r="J199" s="87"/>
      <c r="K199" s="94"/>
      <c r="L199" s="87"/>
      <c r="N199" s="326"/>
    </row>
    <row r="200" spans="1:14" s="101" customFormat="1" ht="16.5" hidden="1" thickTop="1">
      <c r="A200" s="87"/>
      <c r="B200" s="295" t="s">
        <v>277</v>
      </c>
      <c r="C200" s="267">
        <v>793</v>
      </c>
      <c r="D200" s="296"/>
      <c r="E200" s="296">
        <v>679129.99</v>
      </c>
      <c r="F200" s="296"/>
      <c r="G200" s="297"/>
      <c r="H200" s="298"/>
      <c r="I200" s="238"/>
      <c r="J200" s="87"/>
      <c r="K200" s="94"/>
      <c r="L200" s="87"/>
      <c r="N200" s="326"/>
    </row>
    <row r="201" spans="1:14" s="101" customFormat="1" ht="16.5" hidden="1" thickTop="1">
      <c r="A201" s="87"/>
      <c r="B201" s="276" t="s">
        <v>278</v>
      </c>
      <c r="C201" s="267">
        <v>795</v>
      </c>
      <c r="D201" s="296"/>
      <c r="E201" s="296">
        <v>218797115.21</v>
      </c>
      <c r="F201" s="296"/>
      <c r="G201" s="297"/>
      <c r="H201" s="298"/>
      <c r="I201" s="238"/>
      <c r="J201" s="87"/>
      <c r="K201" s="94"/>
      <c r="L201" s="87"/>
      <c r="N201" s="326"/>
    </row>
    <row r="202" spans="1:14" s="101" customFormat="1" ht="16.5" hidden="1" thickTop="1">
      <c r="A202" s="87"/>
      <c r="B202" s="276" t="s">
        <v>279</v>
      </c>
      <c r="C202" s="267">
        <v>799</v>
      </c>
      <c r="D202" s="296"/>
      <c r="E202" s="296">
        <v>5599666</v>
      </c>
      <c r="F202" s="296"/>
      <c r="G202" s="297"/>
      <c r="H202" s="298"/>
      <c r="I202" s="238"/>
      <c r="J202" s="87"/>
      <c r="K202" s="94"/>
      <c r="L202" s="87"/>
      <c r="N202" s="326"/>
    </row>
    <row r="203" spans="1:14" s="101" customFormat="1" ht="16.5" hidden="1" thickTop="1">
      <c r="A203" s="87"/>
      <c r="B203" s="276" t="s">
        <v>280</v>
      </c>
      <c r="C203" s="267">
        <v>802</v>
      </c>
      <c r="D203" s="296"/>
      <c r="E203" s="296"/>
      <c r="F203" s="296"/>
      <c r="G203" s="297"/>
      <c r="H203" s="298"/>
      <c r="I203" s="238"/>
      <c r="J203" s="87"/>
      <c r="K203" s="94"/>
      <c r="L203" s="87"/>
      <c r="N203" s="326"/>
    </row>
    <row r="204" spans="1:14" s="101" customFormat="1" ht="16.5" hidden="1" thickTop="1">
      <c r="A204" s="87"/>
      <c r="B204" s="276" t="s">
        <v>281</v>
      </c>
      <c r="C204" s="267">
        <v>805</v>
      </c>
      <c r="D204" s="296"/>
      <c r="E204" s="296"/>
      <c r="F204" s="296"/>
      <c r="G204" s="297"/>
      <c r="H204" s="298"/>
      <c r="I204" s="238"/>
      <c r="J204" s="87"/>
      <c r="K204" s="94"/>
      <c r="L204" s="87"/>
      <c r="N204" s="326"/>
    </row>
    <row r="205" spans="1:14" s="101" customFormat="1" ht="16.5" hidden="1" thickTop="1">
      <c r="A205" s="87"/>
      <c r="B205" s="276" t="s">
        <v>282</v>
      </c>
      <c r="C205" s="267">
        <v>811</v>
      </c>
      <c r="D205" s="296"/>
      <c r="E205" s="296">
        <v>879649.58</v>
      </c>
      <c r="F205" s="296"/>
      <c r="G205" s="297"/>
      <c r="H205" s="298"/>
      <c r="I205" s="238"/>
      <c r="J205" s="87"/>
      <c r="K205" s="94"/>
      <c r="L205" s="87"/>
      <c r="N205" s="326"/>
    </row>
    <row r="206" spans="1:14" s="101" customFormat="1" ht="16.5" hidden="1" thickTop="1">
      <c r="A206" s="87"/>
      <c r="B206" s="276" t="s">
        <v>283</v>
      </c>
      <c r="C206" s="267">
        <v>812</v>
      </c>
      <c r="D206" s="296"/>
      <c r="E206" s="296">
        <v>236097</v>
      </c>
      <c r="F206" s="296"/>
      <c r="G206" s="297"/>
      <c r="H206" s="298"/>
      <c r="I206" s="238"/>
      <c r="J206" s="87"/>
      <c r="K206" s="94"/>
      <c r="L206" s="87"/>
      <c r="N206" s="326"/>
    </row>
    <row r="207" spans="1:14" s="101" customFormat="1" ht="16.5" hidden="1" thickTop="1">
      <c r="A207" s="87"/>
      <c r="B207" s="276" t="s">
        <v>284</v>
      </c>
      <c r="C207" s="267">
        <v>813</v>
      </c>
      <c r="D207" s="296"/>
      <c r="E207" s="296">
        <v>373500</v>
      </c>
      <c r="F207" s="296"/>
      <c r="G207" s="297"/>
      <c r="H207" s="298"/>
      <c r="I207" s="238"/>
      <c r="J207" s="87"/>
      <c r="K207" s="94"/>
      <c r="L207" s="87"/>
      <c r="N207" s="326"/>
    </row>
    <row r="208" spans="1:14" s="101" customFormat="1" ht="16.5" hidden="1" thickTop="1">
      <c r="A208" s="87"/>
      <c r="B208" s="276" t="s">
        <v>285</v>
      </c>
      <c r="C208" s="267">
        <v>814</v>
      </c>
      <c r="D208" s="296"/>
      <c r="E208" s="296">
        <v>72000</v>
      </c>
      <c r="F208" s="296"/>
      <c r="G208" s="297"/>
      <c r="H208" s="298"/>
      <c r="I208" s="238"/>
      <c r="J208" s="87"/>
      <c r="K208" s="94"/>
      <c r="L208" s="87"/>
      <c r="N208" s="326"/>
    </row>
    <row r="209" spans="1:14" s="101" customFormat="1" ht="16.5" hidden="1" thickTop="1">
      <c r="A209" s="87"/>
      <c r="B209" s="276" t="s">
        <v>286</v>
      </c>
      <c r="C209" s="267">
        <v>815</v>
      </c>
      <c r="D209" s="296"/>
      <c r="E209" s="296">
        <v>2808473</v>
      </c>
      <c r="F209" s="296"/>
      <c r="G209" s="297"/>
      <c r="H209" s="298"/>
      <c r="I209" s="238"/>
      <c r="J209" s="87"/>
      <c r="K209" s="94"/>
      <c r="L209" s="87"/>
      <c r="N209" s="326"/>
    </row>
    <row r="210" spans="1:14" s="101" customFormat="1" ht="16.5" hidden="1" thickTop="1">
      <c r="A210" s="87"/>
      <c r="B210" s="276" t="s">
        <v>287</v>
      </c>
      <c r="C210" s="267">
        <v>816</v>
      </c>
      <c r="D210" s="296"/>
      <c r="E210" s="296"/>
      <c r="F210" s="296"/>
      <c r="G210" s="297"/>
      <c r="H210" s="298"/>
      <c r="I210" s="238"/>
      <c r="J210" s="87"/>
      <c r="K210" s="94"/>
      <c r="L210" s="87"/>
      <c r="N210" s="326"/>
    </row>
    <row r="211" spans="1:14" s="101" customFormat="1" ht="16.5" hidden="1" thickTop="1">
      <c r="A211" s="87"/>
      <c r="B211" s="276" t="s">
        <v>288</v>
      </c>
      <c r="C211" s="267">
        <v>821</v>
      </c>
      <c r="D211" s="296"/>
      <c r="E211" s="296">
        <v>461722.5</v>
      </c>
      <c r="F211" s="296"/>
      <c r="G211" s="297"/>
      <c r="H211" s="298"/>
      <c r="I211" s="238"/>
      <c r="J211" s="87"/>
      <c r="K211" s="94"/>
      <c r="L211" s="87"/>
      <c r="N211" s="326"/>
    </row>
    <row r="212" spans="1:14" s="101" customFormat="1" ht="16.5" hidden="1" thickTop="1">
      <c r="A212" s="87"/>
      <c r="B212" s="276" t="s">
        <v>289</v>
      </c>
      <c r="C212" s="267">
        <v>822</v>
      </c>
      <c r="D212" s="296"/>
      <c r="E212" s="296"/>
      <c r="F212" s="296"/>
      <c r="G212" s="297"/>
      <c r="H212" s="298"/>
      <c r="I212" s="238"/>
      <c r="J212" s="87"/>
      <c r="K212" s="94"/>
      <c r="L212" s="87"/>
      <c r="N212" s="326"/>
    </row>
    <row r="213" spans="1:14" s="101" customFormat="1" ht="16.5" hidden="1" thickTop="1">
      <c r="A213" s="87"/>
      <c r="B213" s="276" t="s">
        <v>290</v>
      </c>
      <c r="C213" s="267">
        <v>823</v>
      </c>
      <c r="D213" s="296"/>
      <c r="E213" s="296">
        <v>238980</v>
      </c>
      <c r="F213" s="296"/>
      <c r="G213" s="297"/>
      <c r="H213" s="298"/>
      <c r="I213" s="238"/>
      <c r="J213" s="87"/>
      <c r="K213" s="94"/>
      <c r="L213" s="87"/>
      <c r="N213" s="326"/>
    </row>
    <row r="214" spans="1:14" s="101" customFormat="1" ht="16.5" hidden="1" thickTop="1">
      <c r="A214" s="87"/>
      <c r="B214" s="276" t="s">
        <v>291</v>
      </c>
      <c r="C214" s="267">
        <v>827</v>
      </c>
      <c r="D214" s="296"/>
      <c r="E214" s="296">
        <v>48070.25</v>
      </c>
      <c r="F214" s="296"/>
      <c r="G214" s="297"/>
      <c r="H214" s="298"/>
      <c r="I214" s="238"/>
      <c r="J214" s="87"/>
      <c r="K214" s="94"/>
      <c r="L214" s="87"/>
      <c r="N214" s="326"/>
    </row>
    <row r="215" spans="1:14" s="101" customFormat="1" ht="16.5" hidden="1" thickTop="1">
      <c r="A215" s="87"/>
      <c r="B215" s="276" t="s">
        <v>292</v>
      </c>
      <c r="C215" s="267">
        <v>829</v>
      </c>
      <c r="D215" s="296"/>
      <c r="E215" s="296"/>
      <c r="F215" s="296"/>
      <c r="G215" s="297"/>
      <c r="H215" s="298"/>
      <c r="I215" s="238"/>
      <c r="J215" s="87"/>
      <c r="K215" s="94"/>
      <c r="L215" s="87"/>
      <c r="N215" s="326"/>
    </row>
    <row r="216" spans="1:14" s="101" customFormat="1" ht="16.5" hidden="1" thickTop="1">
      <c r="A216" s="87"/>
      <c r="B216" s="276" t="s">
        <v>293</v>
      </c>
      <c r="C216" s="267">
        <v>831</v>
      </c>
      <c r="D216" s="296"/>
      <c r="E216" s="296"/>
      <c r="F216" s="296"/>
      <c r="G216" s="297"/>
      <c r="H216" s="298"/>
      <c r="I216" s="238"/>
      <c r="J216" s="87"/>
      <c r="K216" s="94"/>
      <c r="L216" s="87"/>
      <c r="N216" s="326"/>
    </row>
    <row r="217" spans="1:14" s="101" customFormat="1" ht="16.5" hidden="1" thickTop="1">
      <c r="A217" s="87"/>
      <c r="B217" s="276" t="s">
        <v>294</v>
      </c>
      <c r="C217" s="267">
        <v>833</v>
      </c>
      <c r="D217" s="296"/>
      <c r="E217" s="296"/>
      <c r="F217" s="296"/>
      <c r="G217" s="297"/>
      <c r="H217" s="298"/>
      <c r="I217" s="238"/>
      <c r="J217" s="87"/>
      <c r="K217" s="94"/>
      <c r="L217" s="87"/>
      <c r="N217" s="326"/>
    </row>
    <row r="218" spans="1:14" s="101" customFormat="1" ht="16.5" hidden="1" thickTop="1">
      <c r="A218" s="87"/>
      <c r="B218" s="276" t="s">
        <v>295</v>
      </c>
      <c r="C218" s="267">
        <v>836</v>
      </c>
      <c r="D218" s="296"/>
      <c r="E218" s="296">
        <v>50000</v>
      </c>
      <c r="F218" s="296"/>
      <c r="G218" s="297"/>
      <c r="H218" s="298"/>
      <c r="I218" s="238"/>
      <c r="J218" s="87"/>
      <c r="K218" s="94"/>
      <c r="L218" s="87"/>
      <c r="N218" s="326"/>
    </row>
    <row r="219" spans="1:14" s="101" customFormat="1" ht="16.5" hidden="1" thickTop="1">
      <c r="A219" s="87"/>
      <c r="B219" s="276" t="s">
        <v>296</v>
      </c>
      <c r="C219" s="267">
        <v>840</v>
      </c>
      <c r="D219" s="296"/>
      <c r="E219" s="296">
        <v>712809</v>
      </c>
      <c r="F219" s="296"/>
      <c r="G219" s="297"/>
      <c r="H219" s="298"/>
      <c r="I219" s="238"/>
      <c r="J219" s="87"/>
      <c r="K219" s="94"/>
      <c r="L219" s="87"/>
      <c r="N219" s="326"/>
    </row>
    <row r="220" spans="1:14" s="101" customFormat="1" ht="16.5" hidden="1" thickTop="1">
      <c r="A220" s="87"/>
      <c r="B220" s="276" t="s">
        <v>297</v>
      </c>
      <c r="C220" s="267">
        <v>841</v>
      </c>
      <c r="D220" s="296"/>
      <c r="E220" s="296">
        <v>17848561.02</v>
      </c>
      <c r="F220" s="296"/>
      <c r="G220" s="297"/>
      <c r="H220" s="298"/>
      <c r="I220" s="238"/>
      <c r="J220" s="87"/>
      <c r="K220" s="94"/>
      <c r="L220" s="87"/>
      <c r="N220" s="326"/>
    </row>
    <row r="221" spans="1:14" s="101" customFormat="1" ht="16.5" hidden="1" thickTop="1">
      <c r="A221" s="87"/>
      <c r="B221" s="276" t="s">
        <v>298</v>
      </c>
      <c r="C221" s="267">
        <v>844</v>
      </c>
      <c r="D221" s="296"/>
      <c r="E221" s="296">
        <v>531451.8</v>
      </c>
      <c r="F221" s="296"/>
      <c r="G221" s="297"/>
      <c r="H221" s="298"/>
      <c r="I221" s="238"/>
      <c r="J221" s="87"/>
      <c r="K221" s="94"/>
      <c r="L221" s="87"/>
      <c r="N221" s="326"/>
    </row>
    <row r="222" spans="1:14" s="101" customFormat="1" ht="16.5" hidden="1" thickTop="1">
      <c r="A222" s="87"/>
      <c r="B222" s="276" t="s">
        <v>299</v>
      </c>
      <c r="C222" s="267">
        <v>850</v>
      </c>
      <c r="D222" s="296"/>
      <c r="E222" s="296">
        <v>95490</v>
      </c>
      <c r="F222" s="296"/>
      <c r="G222" s="297"/>
      <c r="H222" s="298"/>
      <c r="I222" s="238"/>
      <c r="J222" s="87"/>
      <c r="K222" s="94"/>
      <c r="L222" s="87"/>
      <c r="N222" s="326"/>
    </row>
    <row r="223" spans="1:14" s="101" customFormat="1" ht="16.5" hidden="1" thickTop="1">
      <c r="A223" s="87"/>
      <c r="B223" s="276" t="s">
        <v>300</v>
      </c>
      <c r="C223" s="267">
        <v>851</v>
      </c>
      <c r="D223" s="296"/>
      <c r="E223" s="296"/>
      <c r="F223" s="296"/>
      <c r="G223" s="297"/>
      <c r="H223" s="298"/>
      <c r="I223" s="238"/>
      <c r="J223" s="87"/>
      <c r="K223" s="94"/>
      <c r="L223" s="87"/>
      <c r="N223" s="326"/>
    </row>
    <row r="224" spans="1:14" s="101" customFormat="1" ht="16.5" hidden="1" thickTop="1">
      <c r="A224" s="87"/>
      <c r="B224" s="276" t="s">
        <v>301</v>
      </c>
      <c r="C224" s="267">
        <v>854</v>
      </c>
      <c r="D224" s="296"/>
      <c r="E224" s="296">
        <v>179506</v>
      </c>
      <c r="F224" s="296"/>
      <c r="G224" s="297"/>
      <c r="H224" s="298"/>
      <c r="I224" s="238"/>
      <c r="J224" s="87"/>
      <c r="K224" s="94"/>
      <c r="L224" s="87"/>
      <c r="N224" s="326"/>
    </row>
    <row r="225" spans="1:14" s="101" customFormat="1" ht="16.5" hidden="1" thickTop="1">
      <c r="A225" s="87"/>
      <c r="B225" s="276" t="s">
        <v>302</v>
      </c>
      <c r="C225" s="267">
        <v>855</v>
      </c>
      <c r="D225" s="296"/>
      <c r="E225" s="296"/>
      <c r="F225" s="296"/>
      <c r="G225" s="297"/>
      <c r="H225" s="298"/>
      <c r="I225" s="238"/>
      <c r="J225" s="87"/>
      <c r="K225" s="94"/>
      <c r="L225" s="87"/>
      <c r="N225" s="326"/>
    </row>
    <row r="226" spans="1:14" s="101" customFormat="1" ht="16.5" hidden="1" thickTop="1">
      <c r="A226" s="87"/>
      <c r="B226" s="276" t="s">
        <v>366</v>
      </c>
      <c r="C226" s="267">
        <v>856</v>
      </c>
      <c r="D226" s="296"/>
      <c r="E226" s="296"/>
      <c r="F226" s="296"/>
      <c r="G226" s="297"/>
      <c r="H226" s="298"/>
      <c r="I226" s="238"/>
      <c r="J226" s="87"/>
      <c r="K226" s="94"/>
      <c r="L226" s="87"/>
      <c r="N226" s="326"/>
    </row>
    <row r="227" spans="1:14" s="101" customFormat="1" ht="16.5" hidden="1" thickTop="1">
      <c r="A227" s="87"/>
      <c r="B227" s="276" t="s">
        <v>303</v>
      </c>
      <c r="C227" s="267">
        <v>857</v>
      </c>
      <c r="D227" s="296"/>
      <c r="E227" s="296"/>
      <c r="F227" s="296"/>
      <c r="G227" s="297"/>
      <c r="H227" s="298"/>
      <c r="I227" s="238"/>
      <c r="J227" s="87"/>
      <c r="K227" s="94"/>
      <c r="L227" s="87"/>
      <c r="N227" s="326"/>
    </row>
    <row r="228" spans="1:14" s="101" customFormat="1" ht="16.5" hidden="1" thickTop="1">
      <c r="A228" s="87"/>
      <c r="B228" s="276" t="s">
        <v>304</v>
      </c>
      <c r="C228" s="267">
        <v>860</v>
      </c>
      <c r="D228" s="296"/>
      <c r="E228" s="296">
        <v>362064.2</v>
      </c>
      <c r="F228" s="296"/>
      <c r="G228" s="297"/>
      <c r="H228" s="298"/>
      <c r="I228" s="238"/>
      <c r="J228" s="87"/>
      <c r="K228" s="94"/>
      <c r="L228" s="87"/>
      <c r="N228" s="326"/>
    </row>
    <row r="229" spans="1:14" s="101" customFormat="1" ht="16.5" hidden="1" thickTop="1">
      <c r="A229" s="87"/>
      <c r="B229" s="276" t="s">
        <v>305</v>
      </c>
      <c r="C229" s="267">
        <v>876</v>
      </c>
      <c r="D229" s="296"/>
      <c r="E229" s="296">
        <v>4200000</v>
      </c>
      <c r="F229" s="296"/>
      <c r="G229" s="297"/>
      <c r="H229" s="298"/>
      <c r="I229" s="238"/>
      <c r="J229" s="87"/>
      <c r="K229" s="94"/>
      <c r="L229" s="87"/>
      <c r="N229" s="326"/>
    </row>
    <row r="230" spans="1:14" s="101" customFormat="1" ht="16.5" hidden="1" thickTop="1">
      <c r="A230" s="87"/>
      <c r="B230" s="276" t="s">
        <v>367</v>
      </c>
      <c r="C230" s="267">
        <v>877</v>
      </c>
      <c r="D230" s="296"/>
      <c r="E230" s="296"/>
      <c r="F230" s="296"/>
      <c r="G230" s="297"/>
      <c r="H230" s="298"/>
      <c r="I230" s="238"/>
      <c r="J230" s="87"/>
      <c r="K230" s="94"/>
      <c r="L230" s="87"/>
      <c r="N230" s="326"/>
    </row>
    <row r="231" spans="1:14" s="101" customFormat="1" ht="16.5" hidden="1" thickTop="1">
      <c r="A231" s="87"/>
      <c r="B231" s="276" t="s">
        <v>306</v>
      </c>
      <c r="C231" s="267">
        <v>878</v>
      </c>
      <c r="D231" s="296"/>
      <c r="E231" s="296">
        <v>152905911.82</v>
      </c>
      <c r="F231" s="296"/>
      <c r="G231" s="297"/>
      <c r="H231" s="298"/>
      <c r="I231" s="238"/>
      <c r="J231" s="87"/>
      <c r="K231" s="94"/>
      <c r="L231" s="87"/>
      <c r="N231" s="326"/>
    </row>
    <row r="232" spans="1:14" s="101" customFormat="1" ht="16.5" hidden="1" thickTop="1">
      <c r="A232" s="87"/>
      <c r="B232" s="276" t="s">
        <v>307</v>
      </c>
      <c r="C232" s="267">
        <v>881</v>
      </c>
      <c r="D232" s="296"/>
      <c r="E232" s="296">
        <v>1440000</v>
      </c>
      <c r="F232" s="296"/>
      <c r="G232" s="297"/>
      <c r="H232" s="298"/>
      <c r="I232" s="238"/>
      <c r="J232" s="87"/>
      <c r="K232" s="94"/>
      <c r="L232" s="87"/>
      <c r="N232" s="326"/>
    </row>
    <row r="233" spans="1:14" s="101" customFormat="1" ht="16.5" hidden="1" thickTop="1">
      <c r="A233" s="87"/>
      <c r="B233" s="276" t="s">
        <v>308</v>
      </c>
      <c r="C233" s="267">
        <v>882</v>
      </c>
      <c r="D233" s="296"/>
      <c r="E233" s="296"/>
      <c r="F233" s="296"/>
      <c r="G233" s="297"/>
      <c r="H233" s="298"/>
      <c r="I233" s="238"/>
      <c r="J233" s="87"/>
      <c r="K233" s="94"/>
      <c r="L233" s="87"/>
      <c r="N233" s="326"/>
    </row>
    <row r="234" spans="1:14" s="101" customFormat="1" ht="16.5" hidden="1" thickTop="1">
      <c r="A234" s="87"/>
      <c r="B234" s="276" t="s">
        <v>309</v>
      </c>
      <c r="C234" s="267">
        <v>891</v>
      </c>
      <c r="D234" s="296"/>
      <c r="E234" s="296">
        <v>65477.65</v>
      </c>
      <c r="F234" s="296"/>
      <c r="G234" s="297"/>
      <c r="H234" s="298"/>
      <c r="I234" s="238"/>
      <c r="J234" s="87"/>
      <c r="K234" s="94"/>
      <c r="L234" s="87"/>
      <c r="N234" s="326"/>
    </row>
    <row r="235" spans="1:14" s="101" customFormat="1" ht="16.5" hidden="1" thickTop="1">
      <c r="A235" s="87"/>
      <c r="B235" s="276" t="s">
        <v>310</v>
      </c>
      <c r="C235" s="267">
        <v>892</v>
      </c>
      <c r="D235" s="296"/>
      <c r="E235" s="296">
        <v>306250</v>
      </c>
      <c r="F235" s="296"/>
      <c r="G235" s="297"/>
      <c r="H235" s="298"/>
      <c r="I235" s="238"/>
      <c r="J235" s="87"/>
      <c r="K235" s="94"/>
      <c r="L235" s="87"/>
      <c r="N235" s="326"/>
    </row>
    <row r="236" spans="1:14" s="101" customFormat="1" ht="16.5" hidden="1" thickTop="1">
      <c r="A236" s="87"/>
      <c r="B236" s="276" t="s">
        <v>311</v>
      </c>
      <c r="C236" s="267">
        <v>893</v>
      </c>
      <c r="D236" s="296"/>
      <c r="E236" s="296">
        <v>2501999.66</v>
      </c>
      <c r="F236" s="296"/>
      <c r="G236" s="297"/>
      <c r="H236" s="298"/>
      <c r="I236" s="238"/>
      <c r="J236" s="87"/>
      <c r="K236" s="94"/>
      <c r="L236" s="87"/>
      <c r="N236" s="326"/>
    </row>
    <row r="237" spans="1:14" s="101" customFormat="1" ht="16.5" hidden="1" thickTop="1">
      <c r="A237" s="87"/>
      <c r="B237" s="276" t="s">
        <v>312</v>
      </c>
      <c r="C237" s="267">
        <v>902</v>
      </c>
      <c r="D237" s="296"/>
      <c r="E237" s="296">
        <v>32047870.8</v>
      </c>
      <c r="F237" s="296"/>
      <c r="G237" s="297"/>
      <c r="H237" s="298"/>
      <c r="I237" s="238"/>
      <c r="J237" s="87"/>
      <c r="K237" s="94"/>
      <c r="L237" s="87"/>
      <c r="N237" s="326"/>
    </row>
    <row r="238" spans="1:14" s="101" customFormat="1" ht="16.5" hidden="1" thickTop="1">
      <c r="A238" s="87"/>
      <c r="B238" s="276" t="s">
        <v>313</v>
      </c>
      <c r="C238" s="267">
        <v>905</v>
      </c>
      <c r="D238" s="296"/>
      <c r="E238" s="296">
        <v>12546225.78</v>
      </c>
      <c r="F238" s="296"/>
      <c r="G238" s="297"/>
      <c r="H238" s="298"/>
      <c r="I238" s="238"/>
      <c r="J238" s="87"/>
      <c r="K238" s="94"/>
      <c r="L238" s="87"/>
      <c r="N238" s="326"/>
    </row>
    <row r="239" spans="1:14" s="101" customFormat="1" ht="16.5" hidden="1" thickTop="1">
      <c r="A239" s="87"/>
      <c r="B239" s="276" t="s">
        <v>314</v>
      </c>
      <c r="C239" s="267">
        <v>911</v>
      </c>
      <c r="D239" s="296"/>
      <c r="E239" s="296">
        <v>17443692.78</v>
      </c>
      <c r="F239" s="296"/>
      <c r="G239" s="297"/>
      <c r="H239" s="298"/>
      <c r="I239" s="238"/>
      <c r="J239" s="87"/>
      <c r="K239" s="94"/>
      <c r="L239" s="87"/>
      <c r="N239" s="326"/>
    </row>
    <row r="240" spans="1:14" s="101" customFormat="1" ht="16.5" hidden="1" thickTop="1">
      <c r="A240" s="87"/>
      <c r="B240" s="276" t="s">
        <v>315</v>
      </c>
      <c r="C240" s="267">
        <v>912</v>
      </c>
      <c r="D240" s="296"/>
      <c r="E240" s="296">
        <v>7011489.68</v>
      </c>
      <c r="F240" s="296"/>
      <c r="G240" s="297"/>
      <c r="H240" s="298"/>
      <c r="I240" s="238"/>
      <c r="J240" s="87"/>
      <c r="K240" s="94"/>
      <c r="L240" s="87"/>
      <c r="N240" s="326"/>
    </row>
    <row r="241" spans="1:14" s="101" customFormat="1" ht="16.5" hidden="1" thickTop="1">
      <c r="A241" s="87"/>
      <c r="B241" s="276" t="s">
        <v>316</v>
      </c>
      <c r="C241" s="267">
        <v>913</v>
      </c>
      <c r="D241" s="296"/>
      <c r="E241" s="296">
        <v>81942.48</v>
      </c>
      <c r="F241" s="296"/>
      <c r="G241" s="297"/>
      <c r="H241" s="298"/>
      <c r="I241" s="238"/>
      <c r="J241" s="87"/>
      <c r="K241" s="94"/>
      <c r="L241" s="87"/>
      <c r="N241" s="326"/>
    </row>
    <row r="242" spans="1:14" s="101" customFormat="1" ht="16.5" hidden="1" thickTop="1">
      <c r="A242" s="87"/>
      <c r="B242" s="276" t="s">
        <v>317</v>
      </c>
      <c r="C242" s="267">
        <v>914</v>
      </c>
      <c r="D242" s="296"/>
      <c r="E242" s="296">
        <v>3792458.16</v>
      </c>
      <c r="F242" s="296"/>
      <c r="G242" s="297"/>
      <c r="H242" s="298"/>
      <c r="I242" s="238"/>
      <c r="J242" s="87"/>
      <c r="K242" s="94"/>
      <c r="L242" s="87"/>
      <c r="N242" s="326"/>
    </row>
    <row r="243" spans="1:14" s="101" customFormat="1" ht="16.5" hidden="1" thickTop="1">
      <c r="A243" s="87"/>
      <c r="B243" s="276" t="s">
        <v>318</v>
      </c>
      <c r="C243" s="267">
        <v>915</v>
      </c>
      <c r="D243" s="296"/>
      <c r="E243" s="296">
        <v>8957735.62</v>
      </c>
      <c r="F243" s="296"/>
      <c r="G243" s="297"/>
      <c r="H243" s="298"/>
      <c r="I243" s="238"/>
      <c r="J243" s="87"/>
      <c r="K243" s="94"/>
      <c r="L243" s="87"/>
      <c r="N243" s="326"/>
    </row>
    <row r="244" spans="1:14" s="101" customFormat="1" ht="16.5" hidden="1" thickTop="1">
      <c r="A244" s="87"/>
      <c r="B244" s="276" t="s">
        <v>319</v>
      </c>
      <c r="C244" s="267">
        <v>921</v>
      </c>
      <c r="D244" s="296"/>
      <c r="E244" s="296">
        <v>1090498.79</v>
      </c>
      <c r="F244" s="296"/>
      <c r="G244" s="297"/>
      <c r="H244" s="298"/>
      <c r="I244" s="238"/>
      <c r="J244" s="87"/>
      <c r="K244" s="94"/>
      <c r="L244" s="87"/>
      <c r="N244" s="326"/>
    </row>
    <row r="245" spans="1:14" s="101" customFormat="1" ht="16.5" hidden="1" thickTop="1">
      <c r="A245" s="87"/>
      <c r="B245" s="276" t="s">
        <v>320</v>
      </c>
      <c r="C245" s="267">
        <v>922</v>
      </c>
      <c r="D245" s="296"/>
      <c r="E245" s="296">
        <v>403641.17</v>
      </c>
      <c r="F245" s="296"/>
      <c r="G245" s="297"/>
      <c r="H245" s="298"/>
      <c r="I245" s="238"/>
      <c r="J245" s="87"/>
      <c r="K245" s="94"/>
      <c r="L245" s="87"/>
      <c r="N245" s="326"/>
    </row>
    <row r="246" spans="1:14" s="101" customFormat="1" ht="16.5" hidden="1" thickTop="1">
      <c r="A246" s="87"/>
      <c r="B246" s="276" t="s">
        <v>321</v>
      </c>
      <c r="C246" s="267">
        <v>923</v>
      </c>
      <c r="D246" s="296"/>
      <c r="E246" s="296">
        <v>6767231.54</v>
      </c>
      <c r="F246" s="296"/>
      <c r="G246" s="297"/>
      <c r="H246" s="298"/>
      <c r="I246" s="238"/>
      <c r="J246" s="87"/>
      <c r="K246" s="94"/>
      <c r="L246" s="87"/>
      <c r="N246" s="326"/>
    </row>
    <row r="247" spans="1:14" s="101" customFormat="1" ht="16.5" hidden="1" thickTop="1">
      <c r="A247" s="87"/>
      <c r="B247" s="276" t="s">
        <v>322</v>
      </c>
      <c r="C247" s="267">
        <v>924</v>
      </c>
      <c r="D247" s="296"/>
      <c r="E247" s="296">
        <v>1446424.08</v>
      </c>
      <c r="F247" s="296"/>
      <c r="G247" s="297"/>
      <c r="H247" s="298"/>
      <c r="I247" s="238"/>
      <c r="J247" s="87"/>
      <c r="K247" s="94"/>
      <c r="L247" s="87"/>
      <c r="N247" s="326"/>
    </row>
    <row r="248" spans="1:14" s="101" customFormat="1" ht="16.5" hidden="1" thickTop="1">
      <c r="A248" s="87"/>
      <c r="B248" s="276" t="s">
        <v>368</v>
      </c>
      <c r="C248" s="267">
        <v>926</v>
      </c>
      <c r="D248" s="296"/>
      <c r="E248" s="296">
        <v>1154.85</v>
      </c>
      <c r="F248" s="296"/>
      <c r="G248" s="297"/>
      <c r="H248" s="298"/>
      <c r="I248" s="238"/>
      <c r="J248" s="87"/>
      <c r="K248" s="94"/>
      <c r="L248" s="87"/>
      <c r="N248" s="326"/>
    </row>
    <row r="249" spans="1:14" s="101" customFormat="1" ht="16.5" hidden="1" thickTop="1">
      <c r="A249" s="87"/>
      <c r="B249" s="276" t="s">
        <v>323</v>
      </c>
      <c r="C249" s="267">
        <v>927</v>
      </c>
      <c r="D249" s="296"/>
      <c r="E249" s="296">
        <v>339732.73</v>
      </c>
      <c r="F249" s="296"/>
      <c r="G249" s="297"/>
      <c r="H249" s="298"/>
      <c r="I249" s="238"/>
      <c r="J249" s="87"/>
      <c r="K249" s="94"/>
      <c r="L249" s="87"/>
      <c r="N249" s="326"/>
    </row>
    <row r="250" spans="1:14" s="101" customFormat="1" ht="16.5" hidden="1" thickTop="1">
      <c r="A250" s="87"/>
      <c r="B250" s="276" t="s">
        <v>324</v>
      </c>
      <c r="C250" s="267">
        <v>929</v>
      </c>
      <c r="D250" s="296"/>
      <c r="E250" s="296">
        <v>656342.73</v>
      </c>
      <c r="F250" s="296"/>
      <c r="G250" s="297"/>
      <c r="H250" s="298"/>
      <c r="I250" s="238"/>
      <c r="J250" s="87"/>
      <c r="K250" s="94"/>
      <c r="L250" s="87"/>
      <c r="N250" s="326"/>
    </row>
    <row r="251" spans="1:14" s="101" customFormat="1" ht="16.5" hidden="1" thickTop="1">
      <c r="A251" s="87"/>
      <c r="B251" s="276" t="s">
        <v>325</v>
      </c>
      <c r="C251" s="267">
        <v>930</v>
      </c>
      <c r="D251" s="296"/>
      <c r="E251" s="296">
        <v>36846646.68</v>
      </c>
      <c r="F251" s="296"/>
      <c r="G251" s="297"/>
      <c r="H251" s="298"/>
      <c r="I251" s="238"/>
      <c r="J251" s="87"/>
      <c r="K251" s="94"/>
      <c r="L251" s="87"/>
      <c r="N251" s="326"/>
    </row>
    <row r="252" spans="1:14" s="101" customFormat="1" ht="16.5" hidden="1" thickTop="1">
      <c r="A252" s="87"/>
      <c r="B252" s="276" t="s">
        <v>369</v>
      </c>
      <c r="C252" s="267">
        <v>931</v>
      </c>
      <c r="D252" s="296"/>
      <c r="E252" s="296">
        <v>300000</v>
      </c>
      <c r="F252" s="296"/>
      <c r="G252" s="297"/>
      <c r="H252" s="298"/>
      <c r="I252" s="238"/>
      <c r="J252" s="87"/>
      <c r="K252" s="94"/>
      <c r="L252" s="87"/>
      <c r="N252" s="326"/>
    </row>
    <row r="253" spans="1:14" s="101" customFormat="1" ht="16.5" hidden="1" thickTop="1">
      <c r="A253" s="87"/>
      <c r="B253" s="276" t="s">
        <v>326</v>
      </c>
      <c r="C253" s="267">
        <v>932</v>
      </c>
      <c r="D253" s="296"/>
      <c r="E253" s="296">
        <v>10064.28</v>
      </c>
      <c r="F253" s="296"/>
      <c r="G253" s="297"/>
      <c r="H253" s="298"/>
      <c r="I253" s="238"/>
      <c r="J253" s="87"/>
      <c r="K253" s="94"/>
      <c r="L253" s="87"/>
      <c r="N253" s="326"/>
    </row>
    <row r="254" spans="1:14" s="101" customFormat="1" ht="16.5" hidden="1" thickTop="1">
      <c r="A254" s="87"/>
      <c r="B254" s="276" t="s">
        <v>327</v>
      </c>
      <c r="C254" s="267">
        <v>933</v>
      </c>
      <c r="D254" s="296"/>
      <c r="E254" s="296">
        <v>1417520.6</v>
      </c>
      <c r="F254" s="296"/>
      <c r="G254" s="297"/>
      <c r="H254" s="298"/>
      <c r="I254" s="238"/>
      <c r="J254" s="87"/>
      <c r="K254" s="94"/>
      <c r="L254" s="87"/>
      <c r="N254" s="326"/>
    </row>
    <row r="255" spans="1:14" s="101" customFormat="1" ht="16.5" hidden="1" thickTop="1">
      <c r="A255" s="87"/>
      <c r="B255" s="276" t="s">
        <v>328</v>
      </c>
      <c r="C255" s="267">
        <v>934</v>
      </c>
      <c r="D255" s="296"/>
      <c r="E255" s="296">
        <v>81000</v>
      </c>
      <c r="F255" s="296"/>
      <c r="G255" s="297"/>
      <c r="H255" s="298"/>
      <c r="I255" s="238"/>
      <c r="J255" s="87"/>
      <c r="K255" s="94"/>
      <c r="L255" s="87"/>
      <c r="N255" s="326"/>
    </row>
    <row r="256" spans="1:14" s="101" customFormat="1" ht="16.5" hidden="1" thickTop="1">
      <c r="A256" s="87"/>
      <c r="B256" s="276" t="s">
        <v>329</v>
      </c>
      <c r="C256" s="267">
        <v>936</v>
      </c>
      <c r="D256" s="296"/>
      <c r="E256" s="296">
        <v>2107366.02</v>
      </c>
      <c r="F256" s="296"/>
      <c r="G256" s="297"/>
      <c r="H256" s="298"/>
      <c r="I256" s="238"/>
      <c r="J256" s="87"/>
      <c r="K256" s="94"/>
      <c r="L256" s="87"/>
      <c r="N256" s="326"/>
    </row>
    <row r="257" spans="1:14" s="101" customFormat="1" ht="16.5" hidden="1" thickTop="1">
      <c r="A257" s="87"/>
      <c r="B257" s="276" t="s">
        <v>330</v>
      </c>
      <c r="C257" s="267">
        <v>940</v>
      </c>
      <c r="D257" s="296"/>
      <c r="E257" s="296">
        <v>4316194</v>
      </c>
      <c r="F257" s="296"/>
      <c r="G257" s="297"/>
      <c r="H257" s="298"/>
      <c r="I257" s="238"/>
      <c r="J257" s="87"/>
      <c r="K257" s="94"/>
      <c r="L257" s="87"/>
      <c r="N257" s="326"/>
    </row>
    <row r="258" spans="1:14" s="101" customFormat="1" ht="16.5" hidden="1" thickTop="1">
      <c r="A258" s="87"/>
      <c r="B258" s="276" t="s">
        <v>331</v>
      </c>
      <c r="C258" s="267">
        <v>941</v>
      </c>
      <c r="D258" s="296"/>
      <c r="E258" s="296">
        <v>9293655.87</v>
      </c>
      <c r="F258" s="296"/>
      <c r="G258" s="297"/>
      <c r="H258" s="298"/>
      <c r="I258" s="238"/>
      <c r="J258" s="87"/>
      <c r="K258" s="94"/>
      <c r="L258" s="87"/>
      <c r="N258" s="326"/>
    </row>
    <row r="259" spans="1:14" s="101" customFormat="1" ht="16.5" hidden="1" thickTop="1">
      <c r="A259" s="87"/>
      <c r="B259" s="276" t="s">
        <v>332</v>
      </c>
      <c r="C259" s="267">
        <v>944</v>
      </c>
      <c r="D259" s="296"/>
      <c r="E259" s="296">
        <v>864434.33</v>
      </c>
      <c r="F259" s="296"/>
      <c r="G259" s="297"/>
      <c r="H259" s="298"/>
      <c r="I259" s="238"/>
      <c r="J259" s="87"/>
      <c r="K259" s="94"/>
      <c r="L259" s="87"/>
      <c r="N259" s="326"/>
    </row>
    <row r="260" spans="1:14" s="101" customFormat="1" ht="16.5" hidden="1" thickTop="1">
      <c r="A260" s="87"/>
      <c r="B260" s="276" t="s">
        <v>370</v>
      </c>
      <c r="C260" s="267">
        <v>948</v>
      </c>
      <c r="D260" s="303"/>
      <c r="E260" s="303">
        <v>445500.9</v>
      </c>
      <c r="F260" s="303"/>
      <c r="G260" s="297"/>
      <c r="H260" s="298"/>
      <c r="I260" s="238"/>
      <c r="J260" s="87"/>
      <c r="K260" s="94"/>
      <c r="L260" s="87"/>
      <c r="N260" s="326"/>
    </row>
    <row r="261" spans="1:14" s="101" customFormat="1" ht="16.5" hidden="1" thickTop="1">
      <c r="A261" s="87"/>
      <c r="B261" s="276" t="s">
        <v>333</v>
      </c>
      <c r="C261" s="267">
        <v>969</v>
      </c>
      <c r="D261" s="304"/>
      <c r="E261" s="304">
        <v>125482743.1</v>
      </c>
      <c r="F261" s="304"/>
      <c r="G261" s="297"/>
      <c r="H261" s="298"/>
      <c r="I261" s="238"/>
      <c r="J261" s="87"/>
      <c r="K261" s="94"/>
      <c r="L261" s="87"/>
      <c r="N261" s="326"/>
    </row>
    <row r="262" spans="1:14" s="101" customFormat="1" ht="15.75" hidden="1" thickTop="1">
      <c r="A262" s="87"/>
      <c r="B262" s="305" t="s">
        <v>334</v>
      </c>
      <c r="C262" s="250"/>
      <c r="D262" s="306">
        <f>SUM(D170:D261)</f>
        <v>0</v>
      </c>
      <c r="E262" s="306">
        <f>SUM(E170:E261)</f>
        <v>921125102.6199996</v>
      </c>
      <c r="F262" s="306"/>
      <c r="G262" s="307"/>
      <c r="H262" s="302"/>
      <c r="I262" s="239"/>
      <c r="J262" s="87"/>
      <c r="K262" s="94"/>
      <c r="L262" s="87"/>
      <c r="N262" s="326"/>
    </row>
    <row r="263" spans="1:14" s="101" customFormat="1" ht="16.5" hidden="1" thickTop="1">
      <c r="A263" s="87"/>
      <c r="B263" s="305"/>
      <c r="C263" s="250"/>
      <c r="D263" s="308"/>
      <c r="E263" s="308"/>
      <c r="F263" s="308"/>
      <c r="G263" s="309"/>
      <c r="H263" s="298"/>
      <c r="I263" s="238"/>
      <c r="J263" s="87"/>
      <c r="K263" s="94"/>
      <c r="L263" s="87"/>
      <c r="N263" s="326"/>
    </row>
    <row r="264" spans="1:14" s="101" customFormat="1" ht="16.5" hidden="1" thickTop="1">
      <c r="A264" s="87"/>
      <c r="B264" s="305"/>
      <c r="C264" s="250"/>
      <c r="D264" s="308"/>
      <c r="E264" s="308"/>
      <c r="F264" s="308"/>
      <c r="G264" s="309"/>
      <c r="H264" s="298"/>
      <c r="I264" s="238"/>
      <c r="J264" s="87"/>
      <c r="K264" s="94"/>
      <c r="L264" s="87"/>
      <c r="N264" s="326"/>
    </row>
    <row r="265" spans="1:14" s="101" customFormat="1" ht="16.5" hidden="1" thickTop="1">
      <c r="A265" s="87"/>
      <c r="B265" s="305" t="s">
        <v>335</v>
      </c>
      <c r="C265" s="250"/>
      <c r="D265" s="308"/>
      <c r="E265" s="308"/>
      <c r="F265" s="308"/>
      <c r="G265" s="309"/>
      <c r="H265" s="298"/>
      <c r="I265" s="238"/>
      <c r="J265" s="87"/>
      <c r="K265" s="94"/>
      <c r="L265" s="87"/>
      <c r="N265" s="326"/>
    </row>
    <row r="266" spans="1:14" s="101" customFormat="1" ht="16.5" hidden="1" thickTop="1">
      <c r="A266" s="87"/>
      <c r="B266" s="276" t="s">
        <v>336</v>
      </c>
      <c r="C266" s="267">
        <v>971</v>
      </c>
      <c r="D266" s="296"/>
      <c r="E266" s="296">
        <v>52330.5</v>
      </c>
      <c r="F266" s="296"/>
      <c r="G266" s="297"/>
      <c r="H266" s="298"/>
      <c r="I266" s="238"/>
      <c r="J266" s="87"/>
      <c r="K266" s="94"/>
      <c r="L266" s="87"/>
      <c r="N266" s="326"/>
    </row>
    <row r="267" spans="1:14" s="101" customFormat="1" ht="16.5" hidden="1" thickTop="1">
      <c r="A267" s="87"/>
      <c r="B267" s="276" t="s">
        <v>337</v>
      </c>
      <c r="C267" s="267">
        <v>974</v>
      </c>
      <c r="D267" s="296"/>
      <c r="E267" s="296">
        <v>40346</v>
      </c>
      <c r="F267" s="296"/>
      <c r="G267" s="297"/>
      <c r="H267" s="298"/>
      <c r="I267" s="238"/>
      <c r="J267" s="87"/>
      <c r="K267" s="94"/>
      <c r="L267" s="87"/>
      <c r="N267" s="326"/>
    </row>
    <row r="268" spans="1:14" s="101" customFormat="1" ht="16.5" hidden="1" thickTop="1">
      <c r="A268" s="87"/>
      <c r="B268" s="276" t="s">
        <v>338</v>
      </c>
      <c r="C268" s="267">
        <v>975</v>
      </c>
      <c r="D268" s="296"/>
      <c r="E268" s="296">
        <v>74825874.43</v>
      </c>
      <c r="F268" s="296"/>
      <c r="G268" s="297"/>
      <c r="H268" s="298"/>
      <c r="I268" s="238"/>
      <c r="J268" s="87"/>
      <c r="K268" s="94"/>
      <c r="L268" s="87"/>
      <c r="N268" s="326"/>
    </row>
    <row r="269" spans="1:14" s="101" customFormat="1" ht="16.5" hidden="1" thickTop="1">
      <c r="A269" s="87"/>
      <c r="B269" s="276" t="s">
        <v>339</v>
      </c>
      <c r="C269" s="267">
        <v>979</v>
      </c>
      <c r="D269" s="304"/>
      <c r="E269" s="304"/>
      <c r="F269" s="304"/>
      <c r="G269" s="310"/>
      <c r="H269" s="298"/>
      <c r="I269" s="238"/>
      <c r="J269" s="87"/>
      <c r="K269" s="94"/>
      <c r="L269" s="87"/>
      <c r="N269" s="326"/>
    </row>
    <row r="270" spans="1:14" s="101" customFormat="1" ht="15.75" hidden="1" thickTop="1">
      <c r="A270" s="87"/>
      <c r="B270" s="311" t="s">
        <v>340</v>
      </c>
      <c r="C270" s="312"/>
      <c r="D270" s="306">
        <f>SUM(D266:D269)</f>
        <v>0</v>
      </c>
      <c r="E270" s="306">
        <f>SUM(E266:E269)</f>
        <v>74918550.93</v>
      </c>
      <c r="F270" s="306"/>
      <c r="G270" s="307"/>
      <c r="H270" s="302"/>
      <c r="I270" s="239"/>
      <c r="J270" s="87"/>
      <c r="K270" s="94"/>
      <c r="L270" s="87"/>
      <c r="N270" s="326"/>
    </row>
    <row r="271" spans="1:14" s="101" customFormat="1" ht="16.5" hidden="1" thickTop="1">
      <c r="A271" s="87"/>
      <c r="B271" s="313"/>
      <c r="C271" s="258"/>
      <c r="D271" s="314"/>
      <c r="E271" s="314"/>
      <c r="F271" s="314"/>
      <c r="G271" s="315"/>
      <c r="H271" s="298"/>
      <c r="I271" s="238"/>
      <c r="J271" s="87"/>
      <c r="K271" s="94"/>
      <c r="L271" s="87"/>
      <c r="N271" s="326"/>
    </row>
    <row r="272" spans="1:14" s="101" customFormat="1" ht="16.5" hidden="1" thickBot="1" thickTop="1">
      <c r="A272" s="87"/>
      <c r="B272" s="316" t="s">
        <v>341</v>
      </c>
      <c r="C272" s="317"/>
      <c r="D272" s="318">
        <f>D166+D262+D270</f>
        <v>0</v>
      </c>
      <c r="E272" s="318">
        <f>E166+E262+E270</f>
        <v>1361315042.2399998</v>
      </c>
      <c r="F272" s="318"/>
      <c r="G272" s="319"/>
      <c r="H272" s="302"/>
      <c r="I272" s="239"/>
      <c r="J272" s="87"/>
      <c r="K272" s="94"/>
      <c r="L272" s="87"/>
      <c r="N272" s="326"/>
    </row>
    <row r="273" spans="1:14" s="101" customFormat="1" ht="16.5" hidden="1" thickTop="1">
      <c r="A273" s="87"/>
      <c r="B273" s="247"/>
      <c r="C273" s="320"/>
      <c r="D273" s="321"/>
      <c r="E273" s="321"/>
      <c r="F273" s="321"/>
      <c r="G273" s="321"/>
      <c r="H273" s="286"/>
      <c r="I273" s="230"/>
      <c r="J273" s="87"/>
      <c r="K273" s="94"/>
      <c r="L273" s="87"/>
      <c r="N273" s="326"/>
    </row>
    <row r="274" spans="1:14" s="101" customFormat="1" ht="16.5" hidden="1" thickTop="1">
      <c r="A274" s="87"/>
      <c r="B274" s="243"/>
      <c r="C274" s="244"/>
      <c r="D274" s="290"/>
      <c r="E274" s="290"/>
      <c r="F274" s="286">
        <f>+F135-F136</f>
        <v>397133369.35</v>
      </c>
      <c r="G274" s="286"/>
      <c r="H274" s="286"/>
      <c r="I274" s="230"/>
      <c r="J274" s="87"/>
      <c r="K274" s="94"/>
      <c r="L274" s="87"/>
      <c r="N274" s="326"/>
    </row>
    <row r="275" spans="1:14" s="101" customFormat="1" ht="16.5" hidden="1" thickTop="1">
      <c r="A275" s="87"/>
      <c r="B275" s="243"/>
      <c r="C275" s="244"/>
      <c r="D275" s="290"/>
      <c r="E275" s="290"/>
      <c r="F275" s="286"/>
      <c r="G275" s="286"/>
      <c r="H275" s="286"/>
      <c r="I275" s="230"/>
      <c r="J275" s="87"/>
      <c r="K275" s="94"/>
      <c r="L275" s="87"/>
      <c r="N275" s="326"/>
    </row>
    <row r="276" spans="1:14" s="101" customFormat="1" ht="16.5" thickTop="1">
      <c r="A276" s="87"/>
      <c r="B276" s="244" t="s">
        <v>388</v>
      </c>
      <c r="C276" s="244"/>
      <c r="D276" s="290"/>
      <c r="E276" s="290"/>
      <c r="F276" s="286"/>
      <c r="H276" s="286"/>
      <c r="I276" s="230"/>
      <c r="J276" s="87"/>
      <c r="K276" s="94"/>
      <c r="L276" s="87"/>
      <c r="N276" s="286">
        <f>+G14+G15+G16+G17+G21+G22+G27+G57+G58+G60+G61+G62+G63+G65+G66+G67+G77+G78+G79+G80+G81+G82+G86+G87+G95+G102+G110+G123+G125+G127+G129</f>
        <v>44137452.35333332</v>
      </c>
    </row>
    <row r="277" spans="1:14" s="101" customFormat="1" ht="15.75">
      <c r="A277" s="87"/>
      <c r="B277" s="243" t="s">
        <v>135</v>
      </c>
      <c r="C277" s="244"/>
      <c r="D277" s="286"/>
      <c r="E277" s="286"/>
      <c r="F277" s="286"/>
      <c r="H277" s="286"/>
      <c r="I277" s="230"/>
      <c r="J277" s="87"/>
      <c r="K277" s="94"/>
      <c r="L277" s="87"/>
      <c r="N277" s="286">
        <f>+396262645.95+447524606.33+397133369.35</f>
        <v>1240920621.63</v>
      </c>
    </row>
    <row r="278" spans="1:14" s="101" customFormat="1" ht="15.75">
      <c r="A278" s="87"/>
      <c r="B278" s="243"/>
      <c r="C278" s="244"/>
      <c r="D278" s="286"/>
      <c r="E278" s="286"/>
      <c r="F278" s="286"/>
      <c r="H278" s="286"/>
      <c r="I278" s="230"/>
      <c r="J278" s="87"/>
      <c r="K278" s="94"/>
      <c r="L278" s="87"/>
      <c r="N278" s="286">
        <f>+1240920621.63/3</f>
        <v>413640207.21000004</v>
      </c>
    </row>
    <row r="279" spans="1:14" s="101" customFormat="1" ht="15.75">
      <c r="A279" s="87"/>
      <c r="B279" s="243"/>
      <c r="C279" s="244"/>
      <c r="D279" s="286"/>
      <c r="E279" s="286"/>
      <c r="F279" s="286"/>
      <c r="H279" s="286"/>
      <c r="I279" s="230"/>
      <c r="J279" s="87"/>
      <c r="K279" s="94"/>
      <c r="L279" s="87"/>
      <c r="N279" s="286">
        <f>413567496.18-413640207.21</f>
        <v>-72711.02999997139</v>
      </c>
    </row>
    <row r="280" spans="1:14" s="101" customFormat="1" ht="15.75">
      <c r="A280" s="87"/>
      <c r="B280" s="322" t="s">
        <v>384</v>
      </c>
      <c r="C280" s="244"/>
      <c r="D280" s="290" t="s">
        <v>385</v>
      </c>
      <c r="E280" s="290"/>
      <c r="F280" s="286"/>
      <c r="G280" s="286"/>
      <c r="H280" s="286"/>
      <c r="I280" s="230"/>
      <c r="J280" s="87"/>
      <c r="K280" s="94"/>
      <c r="L280" s="87"/>
      <c r="N280" s="326"/>
    </row>
    <row r="281" spans="1:14" s="101" customFormat="1" ht="15.75">
      <c r="A281" s="87"/>
      <c r="B281" s="243" t="s">
        <v>136</v>
      </c>
      <c r="C281" s="244"/>
      <c r="D281" s="286" t="s">
        <v>154</v>
      </c>
      <c r="E281" s="286"/>
      <c r="F281" s="286"/>
      <c r="G281" s="286"/>
      <c r="H281" s="286"/>
      <c r="I281" s="230"/>
      <c r="J281" s="87"/>
      <c r="K281" s="94"/>
      <c r="L281" s="87"/>
      <c r="N281" s="326"/>
    </row>
    <row r="282" spans="1:14" s="101" customFormat="1" ht="15.75">
      <c r="A282" s="87"/>
      <c r="B282" s="157"/>
      <c r="C282" s="158"/>
      <c r="D282" s="230"/>
      <c r="E282" s="230"/>
      <c r="F282" s="230"/>
      <c r="G282" s="230"/>
      <c r="H282" s="230"/>
      <c r="I282" s="230"/>
      <c r="J282" s="87"/>
      <c r="K282" s="94"/>
      <c r="L282" s="87"/>
      <c r="N282" s="326"/>
    </row>
    <row r="283" spans="1:14" s="101" customFormat="1" ht="15.75">
      <c r="A283" s="87"/>
      <c r="B283" s="231" t="s">
        <v>379</v>
      </c>
      <c r="C283" s="232"/>
      <c r="D283" s="230"/>
      <c r="E283" s="230"/>
      <c r="F283" s="230"/>
      <c r="G283" s="230"/>
      <c r="H283" s="230"/>
      <c r="I283" s="230"/>
      <c r="J283" s="87"/>
      <c r="K283" s="94"/>
      <c r="L283" s="87"/>
      <c r="N283" s="326"/>
    </row>
    <row r="284" spans="2:9" ht="15.75">
      <c r="B284" s="157" t="s">
        <v>152</v>
      </c>
      <c r="C284" s="158"/>
      <c r="D284" s="230"/>
      <c r="E284" s="230"/>
      <c r="F284" s="230"/>
      <c r="G284" s="230"/>
      <c r="H284" s="230"/>
      <c r="I284" s="230"/>
    </row>
    <row r="285" spans="2:9" ht="15.75">
      <c r="B285" s="157"/>
      <c r="C285" s="158"/>
      <c r="D285" s="230"/>
      <c r="E285" s="230"/>
      <c r="F285" s="230"/>
      <c r="G285" s="157"/>
      <c r="H285" s="157"/>
      <c r="I285" s="157"/>
    </row>
    <row r="286" spans="2:9" ht="15.75">
      <c r="B286" s="157"/>
      <c r="C286" s="158"/>
      <c r="D286" s="230"/>
      <c r="E286" s="230"/>
      <c r="F286" s="230"/>
      <c r="G286" s="157"/>
      <c r="H286" s="157"/>
      <c r="I286" s="157"/>
    </row>
    <row r="287" spans="2:9" ht="15.75">
      <c r="B287" s="157"/>
      <c r="C287" s="158"/>
      <c r="D287" s="230"/>
      <c r="E287" s="230"/>
      <c r="F287" s="230"/>
      <c r="G287" s="157"/>
      <c r="H287" s="157"/>
      <c r="I287" s="157"/>
    </row>
    <row r="288" spans="2:9" ht="15.75">
      <c r="B288" s="157"/>
      <c r="C288" s="158"/>
      <c r="D288" s="230"/>
      <c r="E288" s="230"/>
      <c r="F288" s="230"/>
      <c r="G288" s="157"/>
      <c r="H288" s="157"/>
      <c r="I288" s="157"/>
    </row>
    <row r="289" spans="2:9" ht="15.75">
      <c r="B289" s="157"/>
      <c r="C289" s="158"/>
      <c r="D289" s="230"/>
      <c r="E289" s="230"/>
      <c r="F289" s="230"/>
      <c r="G289" s="157"/>
      <c r="H289" s="157"/>
      <c r="I289" s="157"/>
    </row>
    <row r="290" spans="2:9" ht="16.5">
      <c r="B290" s="57"/>
      <c r="C290" s="105"/>
      <c r="D290" s="81"/>
      <c r="E290" s="81"/>
      <c r="F290" s="80"/>
      <c r="G290" s="57"/>
      <c r="H290" s="57"/>
      <c r="I290" s="57"/>
    </row>
    <row r="291" spans="2:9" ht="16.5">
      <c r="B291" s="57"/>
      <c r="C291" s="105"/>
      <c r="D291" s="81"/>
      <c r="E291" s="81"/>
      <c r="F291" s="80"/>
      <c r="G291" s="57"/>
      <c r="H291" s="57"/>
      <c r="I291" s="57"/>
    </row>
    <row r="292" spans="2:9" ht="16.5">
      <c r="B292" s="57"/>
      <c r="C292" s="105"/>
      <c r="D292" s="81"/>
      <c r="E292" s="81"/>
      <c r="F292" s="80"/>
      <c r="G292" s="57"/>
      <c r="H292" s="57"/>
      <c r="I292" s="57"/>
    </row>
    <row r="293" spans="2:9" ht="16.5">
      <c r="B293" s="57"/>
      <c r="C293" s="105"/>
      <c r="D293" s="81"/>
      <c r="E293" s="81"/>
      <c r="F293" s="80"/>
      <c r="G293" s="57"/>
      <c r="H293" s="57"/>
      <c r="I293" s="57"/>
    </row>
    <row r="294" spans="2:9" ht="16.5">
      <c r="B294" s="57"/>
      <c r="C294" s="105"/>
      <c r="D294" s="81"/>
      <c r="E294" s="81"/>
      <c r="F294" s="80"/>
      <c r="G294" s="57"/>
      <c r="H294" s="57"/>
      <c r="I294" s="57"/>
    </row>
    <row r="295" spans="2:9" ht="16.5">
      <c r="B295" s="57"/>
      <c r="C295" s="105"/>
      <c r="D295" s="81"/>
      <c r="E295" s="81"/>
      <c r="F295" s="80"/>
      <c r="G295" s="57"/>
      <c r="H295" s="57"/>
      <c r="I295" s="57"/>
    </row>
    <row r="296" spans="2:9" ht="16.5">
      <c r="B296" s="57"/>
      <c r="C296" s="105"/>
      <c r="D296" s="81"/>
      <c r="E296" s="81"/>
      <c r="F296" s="80"/>
      <c r="G296" s="57"/>
      <c r="H296" s="57"/>
      <c r="I296" s="57"/>
    </row>
    <row r="297" spans="2:9" ht="16.5">
      <c r="B297" s="57"/>
      <c r="C297" s="105"/>
      <c r="D297" s="81"/>
      <c r="E297" s="81"/>
      <c r="F297" s="80"/>
      <c r="G297" s="57"/>
      <c r="H297" s="57"/>
      <c r="I297" s="57"/>
    </row>
    <row r="298" spans="2:9" ht="16.5">
      <c r="B298" s="57"/>
      <c r="C298" s="105"/>
      <c r="D298" s="81"/>
      <c r="E298" s="81"/>
      <c r="F298" s="80"/>
      <c r="G298" s="57"/>
      <c r="H298" s="57"/>
      <c r="I298" s="57"/>
    </row>
    <row r="299" spans="2:9" ht="16.5">
      <c r="B299" s="57"/>
      <c r="C299" s="105"/>
      <c r="D299" s="81"/>
      <c r="E299" s="81"/>
      <c r="F299" s="80"/>
      <c r="G299" s="57"/>
      <c r="H299" s="57"/>
      <c r="I299" s="57"/>
    </row>
    <row r="300" spans="2:9" ht="16.5">
      <c r="B300" s="57"/>
      <c r="C300" s="105"/>
      <c r="D300" s="81"/>
      <c r="E300" s="81"/>
      <c r="F300" s="80"/>
      <c r="G300" s="57"/>
      <c r="H300" s="57"/>
      <c r="I300" s="57"/>
    </row>
    <row r="301" spans="2:9" ht="16.5">
      <c r="B301" s="57"/>
      <c r="C301" s="105"/>
      <c r="D301" s="81"/>
      <c r="E301" s="81"/>
      <c r="F301" s="80"/>
      <c r="G301" s="57"/>
      <c r="H301" s="57"/>
      <c r="I301" s="57"/>
    </row>
    <row r="302" spans="2:9" ht="16.5">
      <c r="B302" s="57"/>
      <c r="C302" s="105"/>
      <c r="D302" s="81"/>
      <c r="E302" s="81"/>
      <c r="F302" s="80"/>
      <c r="G302" s="57"/>
      <c r="H302" s="57"/>
      <c r="I302" s="57"/>
    </row>
    <row r="303" spans="2:9" ht="16.5">
      <c r="B303" s="57"/>
      <c r="C303" s="105"/>
      <c r="D303" s="81"/>
      <c r="E303" s="81"/>
      <c r="F303" s="80"/>
      <c r="G303" s="57"/>
      <c r="H303" s="57"/>
      <c r="I303" s="57"/>
    </row>
    <row r="304" spans="2:9" ht="16.5">
      <c r="B304" s="57"/>
      <c r="C304" s="105"/>
      <c r="D304" s="81"/>
      <c r="E304" s="81"/>
      <c r="F304" s="80"/>
      <c r="G304" s="57"/>
      <c r="H304" s="57"/>
      <c r="I304" s="57"/>
    </row>
    <row r="305" spans="2:9" ht="16.5">
      <c r="B305" s="85"/>
      <c r="C305" s="118"/>
      <c r="D305" s="83"/>
      <c r="E305" s="83"/>
      <c r="F305" s="84"/>
      <c r="G305" s="85"/>
      <c r="H305" s="57"/>
      <c r="I305" s="57"/>
    </row>
    <row r="306" spans="2:9" ht="16.5">
      <c r="B306" s="57"/>
      <c r="C306" s="105"/>
      <c r="D306" s="81"/>
      <c r="E306" s="81"/>
      <c r="F306" s="80"/>
      <c r="G306" s="57"/>
      <c r="H306" s="57"/>
      <c r="I306" s="57"/>
    </row>
    <row r="307" spans="2:9" ht="16.5">
      <c r="B307" s="57"/>
      <c r="C307" s="105"/>
      <c r="D307" s="81"/>
      <c r="E307" s="81"/>
      <c r="F307" s="80"/>
      <c r="G307" s="57"/>
      <c r="H307" s="57"/>
      <c r="I307" s="57"/>
    </row>
    <row r="308" spans="2:9" ht="16.5">
      <c r="B308" s="57"/>
      <c r="C308" s="105"/>
      <c r="D308" s="81"/>
      <c r="E308" s="81"/>
      <c r="F308" s="80"/>
      <c r="G308" s="57"/>
      <c r="H308" s="57"/>
      <c r="I308" s="57"/>
    </row>
    <row r="309" spans="2:9" ht="16.5">
      <c r="B309" s="57"/>
      <c r="C309" s="105"/>
      <c r="D309" s="81"/>
      <c r="E309" s="81"/>
      <c r="F309" s="80"/>
      <c r="G309" s="57"/>
      <c r="H309" s="57"/>
      <c r="I309" s="57"/>
    </row>
    <row r="310" spans="2:9" ht="16.5">
      <c r="B310" s="57"/>
      <c r="C310" s="105"/>
      <c r="D310" s="81"/>
      <c r="E310" s="81"/>
      <c r="F310" s="80"/>
      <c r="G310" s="57"/>
      <c r="H310" s="57"/>
      <c r="I310" s="57"/>
    </row>
    <row r="311" spans="2:9" ht="16.5">
      <c r="B311" s="57"/>
      <c r="C311" s="105"/>
      <c r="D311" s="81"/>
      <c r="E311" s="81"/>
      <c r="F311" s="80"/>
      <c r="G311" s="57"/>
      <c r="H311" s="57"/>
      <c r="I311" s="57"/>
    </row>
    <row r="312" spans="2:9" ht="16.5">
      <c r="B312" s="57"/>
      <c r="C312" s="105"/>
      <c r="D312" s="81"/>
      <c r="E312" s="81"/>
      <c r="F312" s="86"/>
      <c r="G312" s="57"/>
      <c r="H312" s="57"/>
      <c r="I312" s="57"/>
    </row>
    <row r="313" spans="2:9" ht="16.5">
      <c r="B313" s="57"/>
      <c r="C313" s="105"/>
      <c r="D313" s="81"/>
      <c r="E313" s="81"/>
      <c r="F313" s="86"/>
      <c r="G313" s="57"/>
      <c r="H313" s="57"/>
      <c r="I313" s="57"/>
    </row>
    <row r="314" spans="2:9" ht="16.5">
      <c r="B314" s="57"/>
      <c r="C314" s="105"/>
      <c r="D314" s="81"/>
      <c r="E314" s="81"/>
      <c r="F314" s="86"/>
      <c r="G314" s="57"/>
      <c r="H314" s="57"/>
      <c r="I314" s="57"/>
    </row>
    <row r="315" spans="2:9" ht="16.5">
      <c r="B315" s="57"/>
      <c r="C315" s="105"/>
      <c r="D315" s="81"/>
      <c r="E315" s="81"/>
      <c r="F315" s="86"/>
      <c r="G315" s="57"/>
      <c r="H315" s="57"/>
      <c r="I315" s="57"/>
    </row>
    <row r="316" spans="2:9" ht="16.5">
      <c r="B316" s="57"/>
      <c r="C316" s="105"/>
      <c r="D316" s="81"/>
      <c r="E316" s="81"/>
      <c r="F316" s="86"/>
      <c r="G316" s="57"/>
      <c r="H316" s="57"/>
      <c r="I316" s="57"/>
    </row>
    <row r="317" spans="2:9" ht="16.5">
      <c r="B317" s="57"/>
      <c r="C317" s="105"/>
      <c r="D317" s="81"/>
      <c r="E317" s="81"/>
      <c r="F317" s="86"/>
      <c r="G317" s="57"/>
      <c r="H317" s="57"/>
      <c r="I317" s="57"/>
    </row>
    <row r="318" spans="2:9" ht="16.5">
      <c r="B318" s="57"/>
      <c r="C318" s="105"/>
      <c r="D318" s="81"/>
      <c r="E318" s="81"/>
      <c r="F318" s="86"/>
      <c r="G318" s="57"/>
      <c r="H318" s="57"/>
      <c r="I318" s="57"/>
    </row>
    <row r="319" spans="2:9" ht="16.5">
      <c r="B319" s="57"/>
      <c r="C319" s="105"/>
      <c r="D319" s="81"/>
      <c r="E319" s="81"/>
      <c r="F319" s="86"/>
      <c r="G319" s="57"/>
      <c r="H319" s="57"/>
      <c r="I319" s="57"/>
    </row>
    <row r="320" spans="2:9" ht="16.5">
      <c r="B320" s="57"/>
      <c r="C320" s="105"/>
      <c r="D320" s="81"/>
      <c r="E320" s="81"/>
      <c r="F320" s="86"/>
      <c r="G320" s="57"/>
      <c r="H320" s="57"/>
      <c r="I320" s="57"/>
    </row>
    <row r="321" spans="2:9" ht="16.5">
      <c r="B321" s="57"/>
      <c r="C321" s="105"/>
      <c r="D321" s="81"/>
      <c r="E321" s="81"/>
      <c r="F321" s="86"/>
      <c r="G321" s="57"/>
      <c r="H321" s="57"/>
      <c r="I321" s="57"/>
    </row>
    <row r="322" spans="2:9" ht="16.5">
      <c r="B322" s="57"/>
      <c r="C322" s="105"/>
      <c r="D322" s="81"/>
      <c r="E322" s="81"/>
      <c r="F322" s="86"/>
      <c r="G322" s="57"/>
      <c r="H322" s="57"/>
      <c r="I322" s="57"/>
    </row>
    <row r="323" spans="2:9" ht="16.5">
      <c r="B323" s="57"/>
      <c r="C323" s="105"/>
      <c r="D323" s="81"/>
      <c r="E323" s="81"/>
      <c r="F323" s="86"/>
      <c r="G323" s="57"/>
      <c r="H323" s="57"/>
      <c r="I323" s="57"/>
    </row>
    <row r="324" spans="2:9" ht="16.5">
      <c r="B324" s="57"/>
      <c r="C324" s="105"/>
      <c r="D324" s="81"/>
      <c r="E324" s="81"/>
      <c r="F324" s="86"/>
      <c r="G324" s="57"/>
      <c r="H324" s="57"/>
      <c r="I324" s="57"/>
    </row>
    <row r="325" spans="2:9" ht="16.5">
      <c r="B325" s="57"/>
      <c r="C325" s="105"/>
      <c r="D325" s="81"/>
      <c r="E325" s="81"/>
      <c r="F325" s="86"/>
      <c r="G325" s="57"/>
      <c r="H325" s="57"/>
      <c r="I325" s="57"/>
    </row>
  </sheetData>
  <sheetProtection/>
  <mergeCells count="4">
    <mergeCell ref="B2:G2"/>
    <mergeCell ref="B3:G3"/>
    <mergeCell ref="B4:G4"/>
    <mergeCell ref="G7:H7"/>
  </mergeCells>
  <printOptions/>
  <pageMargins left="1.2" right="0.7" top="1" bottom="1" header="0.3" footer="0.3"/>
  <pageSetup horizontalDpi="600" verticalDpi="600" orientation="portrait" paperSize="1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3"/>
  <sheetViews>
    <sheetView zoomScalePageLayoutView="0" workbookViewId="0" topLeftCell="A1">
      <selection activeCell="F14" sqref="F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10" max="10" width="14.21484375" style="0" customWidth="1"/>
  </cols>
  <sheetData>
    <row r="1" spans="1:8" s="56" customFormat="1" ht="15.7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78" t="s">
        <v>196</v>
      </c>
      <c r="C2" s="478"/>
      <c r="D2" s="478"/>
      <c r="E2" s="478"/>
      <c r="F2" s="478"/>
      <c r="G2" s="478"/>
      <c r="H2" s="87"/>
    </row>
    <row r="3" spans="1:8" s="56" customFormat="1" ht="15">
      <c r="A3" s="87"/>
      <c r="B3" s="479" t="s">
        <v>197</v>
      </c>
      <c r="C3" s="479"/>
      <c r="D3" s="479"/>
      <c r="E3" s="479"/>
      <c r="F3" s="479"/>
      <c r="G3" s="479"/>
      <c r="H3" s="87"/>
    </row>
    <row r="4" spans="1:8" s="56" customFormat="1" ht="15">
      <c r="A4" s="87"/>
      <c r="B4" s="479" t="s">
        <v>198</v>
      </c>
      <c r="C4" s="479"/>
      <c r="D4" s="479"/>
      <c r="E4" s="479"/>
      <c r="F4" s="479"/>
      <c r="G4" s="479"/>
      <c r="H4" s="87"/>
    </row>
    <row r="5" spans="1:8" s="56" customFormat="1" ht="15.75">
      <c r="A5" s="87"/>
      <c r="B5" s="157"/>
      <c r="C5" s="158"/>
      <c r="D5" s="157"/>
      <c r="E5" s="157"/>
      <c r="F5" s="157"/>
      <c r="G5" s="157"/>
      <c r="H5" s="87"/>
    </row>
    <row r="6" spans="1:8" s="56" customFormat="1" ht="16.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.75">
      <c r="A7" s="87"/>
      <c r="B7" s="159"/>
      <c r="C7" s="160"/>
      <c r="D7" s="161"/>
      <c r="E7" s="162" t="s">
        <v>18</v>
      </c>
      <c r="F7" s="480" t="s">
        <v>389</v>
      </c>
      <c r="G7" s="481"/>
      <c r="H7" s="87"/>
    </row>
    <row r="8" spans="1:8" s="56" customFormat="1" ht="15.7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</row>
    <row r="9" spans="1:8" s="56" customFormat="1" ht="15.75">
      <c r="A9" s="87"/>
      <c r="B9" s="168" t="s">
        <v>15</v>
      </c>
      <c r="C9" s="164" t="s">
        <v>17</v>
      </c>
      <c r="D9" s="158"/>
      <c r="E9" s="165" t="s">
        <v>155</v>
      </c>
      <c r="F9" s="164" t="s">
        <v>390</v>
      </c>
      <c r="G9" s="169" t="s">
        <v>138</v>
      </c>
      <c r="H9" s="87"/>
    </row>
    <row r="10" spans="1:8" s="56" customFormat="1" ht="15.75">
      <c r="A10" s="87"/>
      <c r="B10" s="170"/>
      <c r="C10" s="171"/>
      <c r="D10" s="172"/>
      <c r="E10" s="173">
        <v>2013</v>
      </c>
      <c r="F10" s="171" t="s">
        <v>155</v>
      </c>
      <c r="G10" s="174" t="s">
        <v>185</v>
      </c>
      <c r="H10" s="87"/>
    </row>
    <row r="11" spans="1:8" s="56" customFormat="1" ht="15.7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.7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.75">
      <c r="A13" s="87"/>
      <c r="B13" s="186"/>
      <c r="C13" s="181"/>
      <c r="D13" s="182"/>
      <c r="E13" s="183"/>
      <c r="F13" s="184"/>
      <c r="G13" s="185"/>
      <c r="H13" s="87"/>
    </row>
    <row r="14" spans="2:7" ht="15.75">
      <c r="B14" s="186" t="s">
        <v>27</v>
      </c>
      <c r="C14" s="181">
        <v>127</v>
      </c>
      <c r="D14" s="182"/>
      <c r="E14" s="333">
        <v>59818662.04</v>
      </c>
      <c r="F14" s="184">
        <v>32803701.06</v>
      </c>
      <c r="G14" s="332">
        <v>100000000</v>
      </c>
    </row>
    <row r="15" spans="2:7" ht="15.75">
      <c r="B15" s="186" t="s">
        <v>28</v>
      </c>
      <c r="C15" s="181">
        <v>588</v>
      </c>
      <c r="D15" s="182"/>
      <c r="E15" s="333">
        <v>59328716.87</v>
      </c>
      <c r="F15" s="184">
        <v>55688729.36</v>
      </c>
      <c r="G15" s="332">
        <v>50000000</v>
      </c>
    </row>
    <row r="16" spans="2:7" ht="15.75">
      <c r="B16" s="186" t="s">
        <v>29</v>
      </c>
      <c r="C16" s="181">
        <v>954</v>
      </c>
      <c r="D16" s="182"/>
      <c r="E16" s="333">
        <v>-508713.55</v>
      </c>
      <c r="F16" s="184">
        <v>-47.13</v>
      </c>
      <c r="G16" s="332">
        <v>-5000000</v>
      </c>
    </row>
    <row r="17" spans="2:7" ht="15.75">
      <c r="B17" s="186" t="s">
        <v>30</v>
      </c>
      <c r="C17" s="181">
        <v>599</v>
      </c>
      <c r="D17" s="182"/>
      <c r="E17" s="333">
        <v>4887711.69</v>
      </c>
      <c r="F17" s="184">
        <v>2752760.78</v>
      </c>
      <c r="G17" s="332">
        <v>5000000</v>
      </c>
    </row>
    <row r="18" spans="1:8" s="56" customFormat="1" ht="15.7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.7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.75">
      <c r="A20" s="87"/>
      <c r="B20" s="186"/>
      <c r="C20" s="181"/>
      <c r="D20" s="182"/>
      <c r="E20" s="182"/>
      <c r="F20" s="184"/>
      <c r="G20" s="332"/>
      <c r="H20" s="87"/>
    </row>
    <row r="21" spans="2:7" ht="15.75">
      <c r="B21" s="186" t="s">
        <v>32</v>
      </c>
      <c r="C21" s="181">
        <v>564</v>
      </c>
      <c r="D21" s="182"/>
      <c r="E21" s="333">
        <v>177495</v>
      </c>
      <c r="F21" s="184">
        <v>158300</v>
      </c>
      <c r="G21" s="334">
        <v>200000</v>
      </c>
    </row>
    <row r="22" spans="2:7" ht="15.75">
      <c r="B22" s="186" t="s">
        <v>33</v>
      </c>
      <c r="C22" s="181">
        <v>581</v>
      </c>
      <c r="D22" s="182"/>
      <c r="E22" s="333"/>
      <c r="F22" s="184"/>
      <c r="G22" s="332">
        <v>5000000</v>
      </c>
    </row>
    <row r="23" spans="2:7" ht="15.75">
      <c r="B23" s="186" t="s">
        <v>397</v>
      </c>
      <c r="C23" s="181" t="s">
        <v>90</v>
      </c>
      <c r="D23" s="182"/>
      <c r="E23" s="333"/>
      <c r="F23" s="184"/>
      <c r="G23" s="332"/>
    </row>
    <row r="24" spans="2:7" ht="15.75">
      <c r="B24" s="186" t="s">
        <v>391</v>
      </c>
      <c r="C24" s="181" t="s">
        <v>393</v>
      </c>
      <c r="D24" s="182"/>
      <c r="E24" s="333">
        <v>7427622.96</v>
      </c>
      <c r="F24" s="184">
        <v>1556447.81</v>
      </c>
      <c r="G24" s="332"/>
    </row>
    <row r="25" spans="2:7" ht="15.75">
      <c r="B25" s="186" t="s">
        <v>392</v>
      </c>
      <c r="C25" s="181" t="s">
        <v>394</v>
      </c>
      <c r="D25" s="182"/>
      <c r="E25" s="333"/>
      <c r="F25" s="184">
        <v>1385090.98</v>
      </c>
      <c r="G25" s="332"/>
    </row>
    <row r="26" spans="2:7" ht="15.75">
      <c r="B26" s="186" t="s">
        <v>395</v>
      </c>
      <c r="C26" s="181" t="s">
        <v>396</v>
      </c>
      <c r="D26" s="182"/>
      <c r="E26" s="333"/>
      <c r="F26" s="184">
        <v>402338.51</v>
      </c>
      <c r="G26" s="332"/>
    </row>
    <row r="27" spans="2:7" ht="15.75">
      <c r="B27" s="186" t="s">
        <v>398</v>
      </c>
      <c r="C27" s="181" t="s">
        <v>91</v>
      </c>
      <c r="D27" s="182"/>
      <c r="E27" s="333"/>
      <c r="F27" s="184"/>
      <c r="G27" s="332"/>
    </row>
    <row r="28" spans="2:7" ht="15.75">
      <c r="B28" s="186" t="s">
        <v>401</v>
      </c>
      <c r="C28" s="181" t="s">
        <v>399</v>
      </c>
      <c r="D28" s="182"/>
      <c r="E28" s="333">
        <v>1745378.5</v>
      </c>
      <c r="F28" s="184">
        <v>1225849.75</v>
      </c>
      <c r="G28" s="332"/>
    </row>
    <row r="29" spans="2:7" ht="15.75">
      <c r="B29" s="186" t="s">
        <v>400</v>
      </c>
      <c r="C29" s="181" t="s">
        <v>402</v>
      </c>
      <c r="D29" s="182"/>
      <c r="E29" s="333"/>
      <c r="F29" s="184">
        <v>11250</v>
      </c>
      <c r="G29" s="332"/>
    </row>
    <row r="30" spans="2:7" ht="15.75">
      <c r="B30" s="186" t="s">
        <v>403</v>
      </c>
      <c r="C30" s="181" t="s">
        <v>404</v>
      </c>
      <c r="D30" s="182"/>
      <c r="E30" s="333">
        <v>6400</v>
      </c>
      <c r="F30" s="184">
        <v>9435</v>
      </c>
      <c r="G30" s="332"/>
    </row>
    <row r="31" spans="2:7" ht="15.75">
      <c r="B31" s="186" t="s">
        <v>35</v>
      </c>
      <c r="C31" s="181">
        <v>582</v>
      </c>
      <c r="D31" s="182"/>
      <c r="E31" s="333"/>
      <c r="F31" s="184"/>
      <c r="G31" s="332">
        <v>90000000</v>
      </c>
    </row>
    <row r="32" spans="2:7" ht="15.75">
      <c r="B32" s="188" t="s">
        <v>36</v>
      </c>
      <c r="C32" s="181" t="s">
        <v>93</v>
      </c>
      <c r="D32" s="182"/>
      <c r="E32" s="333">
        <v>14956463.01</v>
      </c>
      <c r="F32" s="184">
        <v>9341762.93</v>
      </c>
      <c r="G32" s="332"/>
    </row>
    <row r="33" spans="2:7" ht="15.75">
      <c r="B33" s="188" t="s">
        <v>346</v>
      </c>
      <c r="C33" s="181" t="s">
        <v>93</v>
      </c>
      <c r="D33" s="182"/>
      <c r="E33" s="333"/>
      <c r="F33" s="184">
        <v>132</v>
      </c>
      <c r="G33" s="332"/>
    </row>
    <row r="34" spans="2:7" ht="15.75">
      <c r="B34" s="188" t="s">
        <v>37</v>
      </c>
      <c r="C34" s="181" t="s">
        <v>94</v>
      </c>
      <c r="D34" s="182"/>
      <c r="E34" s="333">
        <v>17728858.33</v>
      </c>
      <c r="F34" s="184">
        <v>15631802.53</v>
      </c>
      <c r="G34" s="332"/>
    </row>
    <row r="35" spans="2:7" ht="15.75" hidden="1">
      <c r="B35" s="188" t="s">
        <v>347</v>
      </c>
      <c r="C35" s="181" t="s">
        <v>94</v>
      </c>
      <c r="D35" s="182"/>
      <c r="E35" s="333"/>
      <c r="F35" s="184"/>
      <c r="G35" s="332"/>
    </row>
    <row r="36" spans="2:7" ht="15.75">
      <c r="B36" s="188" t="s">
        <v>38</v>
      </c>
      <c r="C36" s="181" t="s">
        <v>95</v>
      </c>
      <c r="D36" s="182"/>
      <c r="E36" s="333">
        <v>8352475.1</v>
      </c>
      <c r="F36" s="184">
        <v>5809395.29</v>
      </c>
      <c r="G36" s="332"/>
    </row>
    <row r="37" spans="2:7" ht="15.75">
      <c r="B37" s="188" t="s">
        <v>348</v>
      </c>
      <c r="C37" s="181" t="s">
        <v>95</v>
      </c>
      <c r="D37" s="182"/>
      <c r="E37" s="333">
        <v>990</v>
      </c>
      <c r="F37" s="184"/>
      <c r="G37" s="332"/>
    </row>
    <row r="38" spans="2:7" ht="15.75">
      <c r="B38" s="188" t="s">
        <v>39</v>
      </c>
      <c r="C38" s="181" t="s">
        <v>96</v>
      </c>
      <c r="D38" s="182"/>
      <c r="E38" s="333">
        <v>12884155.21</v>
      </c>
      <c r="F38" s="184">
        <v>10290133.37</v>
      </c>
      <c r="G38" s="332"/>
    </row>
    <row r="39" spans="2:7" ht="15.75">
      <c r="B39" s="188" t="s">
        <v>40</v>
      </c>
      <c r="C39" s="181" t="s">
        <v>97</v>
      </c>
      <c r="D39" s="182"/>
      <c r="E39" s="333">
        <v>1432633.92</v>
      </c>
      <c r="F39" s="184">
        <v>1443149.12</v>
      </c>
      <c r="G39" s="332"/>
    </row>
    <row r="40" spans="2:7" ht="15.75">
      <c r="B40" s="188" t="s">
        <v>41</v>
      </c>
      <c r="C40" s="181" t="s">
        <v>98</v>
      </c>
      <c r="D40" s="182"/>
      <c r="E40" s="333">
        <v>7924793.12</v>
      </c>
      <c r="F40" s="184">
        <v>4456113.89</v>
      </c>
      <c r="G40" s="332"/>
    </row>
    <row r="41" spans="2:7" ht="15.75">
      <c r="B41" s="188" t="s">
        <v>42</v>
      </c>
      <c r="C41" s="181" t="s">
        <v>99</v>
      </c>
      <c r="D41" s="182"/>
      <c r="E41" s="333">
        <v>17684504.01</v>
      </c>
      <c r="F41" s="184">
        <v>12960263.86</v>
      </c>
      <c r="G41" s="332"/>
    </row>
    <row r="42" spans="2:7" ht="15.75">
      <c r="B42" s="188" t="s">
        <v>43</v>
      </c>
      <c r="C42" s="181" t="s">
        <v>100</v>
      </c>
      <c r="D42" s="182"/>
      <c r="E42" s="333">
        <v>1369259.22</v>
      </c>
      <c r="F42" s="184">
        <v>1158316.37</v>
      </c>
      <c r="G42" s="332"/>
    </row>
    <row r="43" spans="2:7" ht="15.75" hidden="1">
      <c r="B43" s="188" t="s">
        <v>349</v>
      </c>
      <c r="C43" s="181" t="s">
        <v>100</v>
      </c>
      <c r="D43" s="182"/>
      <c r="E43" s="333"/>
      <c r="F43" s="184"/>
      <c r="G43" s="332"/>
    </row>
    <row r="44" spans="2:7" ht="15.75">
      <c r="B44" s="188" t="s">
        <v>44</v>
      </c>
      <c r="C44" s="181" t="s">
        <v>101</v>
      </c>
      <c r="D44" s="182"/>
      <c r="E44" s="333">
        <v>3511587.08</v>
      </c>
      <c r="F44" s="184">
        <v>4264038.55</v>
      </c>
      <c r="G44" s="332"/>
    </row>
    <row r="45" spans="2:7" ht="15.75">
      <c r="B45" s="188" t="s">
        <v>45</v>
      </c>
      <c r="C45" s="181" t="s">
        <v>102</v>
      </c>
      <c r="D45" s="182"/>
      <c r="E45" s="333">
        <v>23926</v>
      </c>
      <c r="F45" s="184">
        <v>19635</v>
      </c>
      <c r="G45" s="332"/>
    </row>
    <row r="46" spans="2:7" ht="15.75">
      <c r="B46" s="188" t="s">
        <v>46</v>
      </c>
      <c r="C46" s="181" t="s">
        <v>103</v>
      </c>
      <c r="D46" s="182"/>
      <c r="E46" s="333">
        <v>625</v>
      </c>
      <c r="F46" s="184">
        <v>22857.05</v>
      </c>
      <c r="G46" s="332"/>
    </row>
    <row r="47" spans="2:7" ht="15.75">
      <c r="B47" s="188" t="s">
        <v>47</v>
      </c>
      <c r="C47" s="181" t="s">
        <v>104</v>
      </c>
      <c r="D47" s="182"/>
      <c r="E47" s="333">
        <v>337471.52</v>
      </c>
      <c r="F47" s="184">
        <v>440231.77</v>
      </c>
      <c r="G47" s="332"/>
    </row>
    <row r="48" spans="2:7" ht="15.75">
      <c r="B48" s="188" t="s">
        <v>48</v>
      </c>
      <c r="C48" s="181" t="s">
        <v>105</v>
      </c>
      <c r="D48" s="182"/>
      <c r="E48" s="333">
        <v>4779810.57</v>
      </c>
      <c r="F48" s="184">
        <v>4060486.71</v>
      </c>
      <c r="G48" s="332"/>
    </row>
    <row r="49" spans="2:7" ht="15.75">
      <c r="B49" s="188" t="s">
        <v>49</v>
      </c>
      <c r="C49" s="181" t="s">
        <v>106</v>
      </c>
      <c r="D49" s="182"/>
      <c r="E49" s="333">
        <v>80521.97</v>
      </c>
      <c r="F49" s="184">
        <v>132614.77</v>
      </c>
      <c r="G49" s="332"/>
    </row>
    <row r="50" spans="2:7" ht="15.75">
      <c r="B50" s="188" t="s">
        <v>50</v>
      </c>
      <c r="C50" s="181" t="s">
        <v>107</v>
      </c>
      <c r="D50" s="182"/>
      <c r="E50" s="333">
        <v>3088384.39</v>
      </c>
      <c r="F50" s="184">
        <v>2716191.42</v>
      </c>
      <c r="G50" s="332"/>
    </row>
    <row r="51" spans="2:7" ht="15.75">
      <c r="B51" s="188" t="s">
        <v>350</v>
      </c>
      <c r="C51" s="181" t="s">
        <v>107</v>
      </c>
      <c r="D51" s="182"/>
      <c r="E51" s="333">
        <v>816.75</v>
      </c>
      <c r="F51" s="184">
        <v>14.44</v>
      </c>
      <c r="G51" s="332"/>
    </row>
    <row r="52" spans="2:7" ht="15.75">
      <c r="B52" s="188" t="s">
        <v>51</v>
      </c>
      <c r="C52" s="181" t="s">
        <v>108</v>
      </c>
      <c r="D52" s="182"/>
      <c r="E52" s="333">
        <v>30289.05</v>
      </c>
      <c r="F52" s="184">
        <v>26503.27</v>
      </c>
      <c r="G52" s="332"/>
    </row>
    <row r="53" spans="2:7" ht="15.75" hidden="1">
      <c r="B53" s="188" t="s">
        <v>52</v>
      </c>
      <c r="C53" s="181" t="s">
        <v>109</v>
      </c>
      <c r="D53" s="182"/>
      <c r="E53" s="333"/>
      <c r="F53" s="184"/>
      <c r="G53" s="332"/>
    </row>
    <row r="54" spans="2:7" ht="15.75">
      <c r="B54" s="188" t="s">
        <v>351</v>
      </c>
      <c r="C54" s="181" t="s">
        <v>110</v>
      </c>
      <c r="D54" s="182"/>
      <c r="E54" s="333">
        <v>11847012.89</v>
      </c>
      <c r="F54" s="184">
        <v>8594106.56</v>
      </c>
      <c r="G54" s="332"/>
    </row>
    <row r="55" spans="2:7" ht="15.75">
      <c r="B55" s="188" t="s">
        <v>352</v>
      </c>
      <c r="C55" s="181" t="s">
        <v>110</v>
      </c>
      <c r="D55" s="182"/>
      <c r="E55" s="333">
        <v>5625.23</v>
      </c>
      <c r="F55" s="184"/>
      <c r="G55" s="332"/>
    </row>
    <row r="56" spans="2:7" ht="15.75">
      <c r="B56" s="188" t="s">
        <v>54</v>
      </c>
      <c r="C56" s="181" t="s">
        <v>111</v>
      </c>
      <c r="D56" s="182"/>
      <c r="E56" s="333">
        <v>709474.45</v>
      </c>
      <c r="F56" s="184">
        <v>477894.97</v>
      </c>
      <c r="G56" s="332"/>
    </row>
    <row r="57" spans="2:7" ht="15.75">
      <c r="B57" s="188" t="s">
        <v>55</v>
      </c>
      <c r="C57" s="181" t="s">
        <v>112</v>
      </c>
      <c r="D57" s="182"/>
      <c r="E57" s="333">
        <v>975695.4</v>
      </c>
      <c r="F57" s="184">
        <v>405593.06</v>
      </c>
      <c r="G57" s="332"/>
    </row>
    <row r="58" spans="2:7" ht="15.75">
      <c r="B58" s="188" t="s">
        <v>56</v>
      </c>
      <c r="C58" s="181" t="s">
        <v>113</v>
      </c>
      <c r="D58" s="182"/>
      <c r="E58" s="333">
        <v>8096.57</v>
      </c>
      <c r="F58" s="184">
        <v>8181.33</v>
      </c>
      <c r="G58" s="332"/>
    </row>
    <row r="59" spans="2:7" ht="15.75">
      <c r="B59" s="188" t="s">
        <v>57</v>
      </c>
      <c r="C59" s="181" t="s">
        <v>114</v>
      </c>
      <c r="D59" s="182"/>
      <c r="E59" s="333">
        <v>100</v>
      </c>
      <c r="F59" s="184"/>
      <c r="G59" s="332"/>
    </row>
    <row r="60" spans="2:7" ht="15.75">
      <c r="B60" s="188" t="s">
        <v>406</v>
      </c>
      <c r="C60" s="181" t="s">
        <v>115</v>
      </c>
      <c r="D60" s="182"/>
      <c r="E60" s="333"/>
      <c r="F60" s="184">
        <v>403575.36</v>
      </c>
      <c r="G60" s="332"/>
    </row>
    <row r="61" spans="2:7" ht="15.75">
      <c r="B61" s="188" t="s">
        <v>407</v>
      </c>
      <c r="C61" s="181" t="s">
        <v>405</v>
      </c>
      <c r="D61" s="182"/>
      <c r="E61" s="333">
        <v>493430.79</v>
      </c>
      <c r="F61" s="184">
        <v>1452</v>
      </c>
      <c r="G61" s="332"/>
    </row>
    <row r="62" spans="2:7" ht="15.75">
      <c r="B62" s="188" t="s">
        <v>408</v>
      </c>
      <c r="C62" s="181" t="s">
        <v>409</v>
      </c>
      <c r="D62" s="182"/>
      <c r="E62" s="333"/>
      <c r="F62" s="184">
        <v>-6760197.93</v>
      </c>
      <c r="G62" s="332"/>
    </row>
    <row r="63" spans="2:7" ht="15.75">
      <c r="B63" s="188" t="s">
        <v>410</v>
      </c>
      <c r="C63" s="181" t="s">
        <v>411</v>
      </c>
      <c r="D63" s="182"/>
      <c r="E63" s="333"/>
      <c r="F63" s="184">
        <v>716047.62</v>
      </c>
      <c r="G63" s="332"/>
    </row>
    <row r="64" spans="2:7" ht="15.75">
      <c r="B64" s="186" t="s">
        <v>0</v>
      </c>
      <c r="C64" s="181">
        <v>583</v>
      </c>
      <c r="D64" s="182"/>
      <c r="E64" s="333">
        <v>6042151.08</v>
      </c>
      <c r="F64" s="184">
        <v>5494702.23</v>
      </c>
      <c r="G64" s="332">
        <v>6000000</v>
      </c>
    </row>
    <row r="65" spans="2:7" ht="15.75">
      <c r="B65" s="186" t="s">
        <v>59</v>
      </c>
      <c r="C65" s="181">
        <v>584</v>
      </c>
      <c r="D65" s="182"/>
      <c r="E65" s="333">
        <v>1457930</v>
      </c>
      <c r="F65" s="184">
        <v>1664531.5</v>
      </c>
      <c r="G65" s="332">
        <v>2500000</v>
      </c>
    </row>
    <row r="66" spans="2:7" ht="15.75">
      <c r="B66" s="186" t="s">
        <v>60</v>
      </c>
      <c r="C66" s="181">
        <v>585</v>
      </c>
      <c r="D66" s="182"/>
      <c r="E66" s="333"/>
      <c r="F66" s="184">
        <v>13210</v>
      </c>
      <c r="G66" s="332">
        <v>100000</v>
      </c>
    </row>
    <row r="67" spans="2:7" ht="15.75">
      <c r="B67" s="186" t="s">
        <v>61</v>
      </c>
      <c r="C67" s="181">
        <v>586</v>
      </c>
      <c r="D67" s="182"/>
      <c r="E67" s="333">
        <v>77227.94</v>
      </c>
      <c r="F67" s="184">
        <v>63612.24</v>
      </c>
      <c r="G67" s="332">
        <v>100000</v>
      </c>
    </row>
    <row r="68" spans="2:7" ht="15.75">
      <c r="B68" s="186" t="s">
        <v>1</v>
      </c>
      <c r="C68" s="181">
        <v>587</v>
      </c>
      <c r="D68" s="182"/>
      <c r="E68" s="333">
        <v>5090503.4</v>
      </c>
      <c r="F68" s="184">
        <v>4772625.14</v>
      </c>
      <c r="G68" s="332">
        <v>10000000</v>
      </c>
    </row>
    <row r="69" spans="2:7" ht="15.75">
      <c r="B69" s="186" t="s">
        <v>2</v>
      </c>
      <c r="C69" s="181">
        <v>592</v>
      </c>
      <c r="D69" s="182"/>
      <c r="E69" s="333">
        <v>273110</v>
      </c>
      <c r="F69" s="184">
        <v>263442.5</v>
      </c>
      <c r="G69" s="332">
        <v>350000</v>
      </c>
    </row>
    <row r="70" spans="2:7" ht="15.75">
      <c r="B70" s="186" t="s">
        <v>62</v>
      </c>
      <c r="C70" s="181">
        <v>593</v>
      </c>
      <c r="D70" s="182"/>
      <c r="E70" s="333">
        <v>3016181.29</v>
      </c>
      <c r="F70" s="184">
        <v>1814030.65</v>
      </c>
      <c r="G70" s="332">
        <v>4000000</v>
      </c>
    </row>
    <row r="71" spans="2:7" ht="15.75" hidden="1">
      <c r="B71" s="186" t="s">
        <v>180</v>
      </c>
      <c r="C71" s="181" t="s">
        <v>165</v>
      </c>
      <c r="D71" s="182"/>
      <c r="E71" s="333"/>
      <c r="F71" s="184"/>
      <c r="G71" s="332"/>
    </row>
    <row r="72" spans="2:7" ht="15.75">
      <c r="B72" s="186" t="s">
        <v>187</v>
      </c>
      <c r="C72" s="181">
        <v>599</v>
      </c>
      <c r="D72" s="182"/>
      <c r="E72" s="333">
        <v>15938.81</v>
      </c>
      <c r="F72" s="184">
        <v>1350</v>
      </c>
      <c r="G72" s="332">
        <v>50000</v>
      </c>
    </row>
    <row r="73" spans="2:7" ht="15.75">
      <c r="B73" s="186" t="s">
        <v>188</v>
      </c>
      <c r="C73" s="181">
        <v>601</v>
      </c>
      <c r="D73" s="182"/>
      <c r="E73" s="333">
        <v>298595</v>
      </c>
      <c r="F73" s="184">
        <v>277235</v>
      </c>
      <c r="G73" s="332">
        <v>300000</v>
      </c>
    </row>
    <row r="74" spans="2:7" ht="15.75">
      <c r="B74" s="186" t="s">
        <v>65</v>
      </c>
      <c r="C74" s="181">
        <v>605</v>
      </c>
      <c r="D74" s="182"/>
      <c r="E74" s="333"/>
      <c r="F74" s="184"/>
      <c r="G74" s="332">
        <v>17000000</v>
      </c>
    </row>
    <row r="75" spans="2:7" ht="15.75">
      <c r="B75" s="186" t="s">
        <v>66</v>
      </c>
      <c r="C75" s="181" t="s">
        <v>116</v>
      </c>
      <c r="D75" s="182"/>
      <c r="E75" s="333">
        <v>5820493.05</v>
      </c>
      <c r="F75" s="184">
        <v>7113197.75</v>
      </c>
      <c r="G75" s="332"/>
    </row>
    <row r="76" spans="2:7" ht="15.75">
      <c r="B76" s="186" t="s">
        <v>353</v>
      </c>
      <c r="C76" s="181" t="s">
        <v>116</v>
      </c>
      <c r="D76" s="182"/>
      <c r="E76" s="333">
        <v>1363845</v>
      </c>
      <c r="F76" s="184"/>
      <c r="G76" s="332"/>
    </row>
    <row r="77" spans="2:7" ht="15.75">
      <c r="B77" s="186" t="s">
        <v>444</v>
      </c>
      <c r="C77" s="181" t="s">
        <v>117</v>
      </c>
      <c r="D77" s="182"/>
      <c r="E77" s="333">
        <v>3842431.4</v>
      </c>
      <c r="F77" s="184">
        <v>3940828.76</v>
      </c>
      <c r="G77" s="332"/>
    </row>
    <row r="78" spans="2:7" ht="15.75">
      <c r="B78" s="186" t="s">
        <v>68</v>
      </c>
      <c r="C78" s="181" t="s">
        <v>118</v>
      </c>
      <c r="D78" s="182"/>
      <c r="E78" s="333">
        <v>6798954.16</v>
      </c>
      <c r="F78" s="184">
        <v>4291109.03</v>
      </c>
      <c r="G78" s="332"/>
    </row>
    <row r="79" spans="2:7" ht="15.75">
      <c r="B79" s="186" t="s">
        <v>445</v>
      </c>
      <c r="C79" s="181" t="s">
        <v>119</v>
      </c>
      <c r="D79" s="182"/>
      <c r="E79" s="333"/>
      <c r="F79" s="184">
        <v>227040</v>
      </c>
      <c r="G79" s="332"/>
    </row>
    <row r="80" spans="2:7" ht="15.75">
      <c r="B80" s="186" t="s">
        <v>446</v>
      </c>
      <c r="C80" s="181" t="s">
        <v>120</v>
      </c>
      <c r="D80" s="182"/>
      <c r="E80" s="333">
        <v>4394254.42</v>
      </c>
      <c r="F80" s="184">
        <v>3106977.47</v>
      </c>
      <c r="G80" s="332"/>
    </row>
    <row r="81" spans="2:7" ht="15.75">
      <c r="B81" s="186" t="s">
        <v>447</v>
      </c>
      <c r="C81" s="181" t="s">
        <v>121</v>
      </c>
      <c r="D81" s="182"/>
      <c r="E81" s="333">
        <v>37383</v>
      </c>
      <c r="F81" s="184">
        <v>2350</v>
      </c>
      <c r="G81" s="332"/>
    </row>
    <row r="82" spans="2:7" ht="15.75">
      <c r="B82" s="186" t="s">
        <v>451</v>
      </c>
      <c r="C82" s="181" t="s">
        <v>122</v>
      </c>
      <c r="D82" s="182"/>
      <c r="E82" s="333">
        <v>844782.6</v>
      </c>
      <c r="F82" s="184"/>
      <c r="G82" s="332"/>
    </row>
    <row r="83" spans="2:7" ht="15.75">
      <c r="B83" s="186" t="s">
        <v>452</v>
      </c>
      <c r="C83" s="181" t="s">
        <v>123</v>
      </c>
      <c r="D83" s="182"/>
      <c r="E83" s="333">
        <v>227700</v>
      </c>
      <c r="F83" s="184"/>
      <c r="G83" s="332"/>
    </row>
    <row r="84" spans="2:7" ht="15.75">
      <c r="B84" s="186" t="s">
        <v>453</v>
      </c>
      <c r="C84" s="181" t="s">
        <v>454</v>
      </c>
      <c r="D84" s="182"/>
      <c r="E84" s="333">
        <v>331790</v>
      </c>
      <c r="F84" s="184"/>
      <c r="G84" s="332"/>
    </row>
    <row r="85" spans="2:7" ht="15.75">
      <c r="B85" s="186" t="s">
        <v>4</v>
      </c>
      <c r="C85" s="181">
        <v>606</v>
      </c>
      <c r="D85" s="182"/>
      <c r="E85" s="333">
        <v>526640</v>
      </c>
      <c r="F85" s="184">
        <v>69310</v>
      </c>
      <c r="G85" s="332">
        <v>700000</v>
      </c>
    </row>
    <row r="86" spans="2:7" ht="15.75">
      <c r="B86" s="186" t="s">
        <v>189</v>
      </c>
      <c r="C86" s="181">
        <v>609</v>
      </c>
      <c r="D86" s="182"/>
      <c r="E86" s="333">
        <v>4041893.11</v>
      </c>
      <c r="F86" s="184">
        <v>2172992.57</v>
      </c>
      <c r="G86" s="332">
        <v>1800000</v>
      </c>
    </row>
    <row r="87" spans="2:7" ht="15.75">
      <c r="B87" s="186" t="s">
        <v>74</v>
      </c>
      <c r="C87" s="181">
        <v>613</v>
      </c>
      <c r="D87" s="182"/>
      <c r="E87" s="333">
        <v>6521364.28</v>
      </c>
      <c r="F87" s="184">
        <v>4510414.75</v>
      </c>
      <c r="G87" s="332">
        <v>7000000</v>
      </c>
    </row>
    <row r="88" spans="2:7" ht="15.75">
      <c r="B88" s="186" t="s">
        <v>6</v>
      </c>
      <c r="C88" s="181">
        <v>616</v>
      </c>
      <c r="D88" s="182"/>
      <c r="E88" s="333">
        <v>5546000</v>
      </c>
      <c r="F88" s="184">
        <v>5364960</v>
      </c>
      <c r="G88" s="332">
        <v>6500000</v>
      </c>
    </row>
    <row r="89" spans="2:7" ht="15.75">
      <c r="B89" s="186" t="s">
        <v>7</v>
      </c>
      <c r="C89" s="181">
        <v>617</v>
      </c>
      <c r="D89" s="182"/>
      <c r="E89" s="333">
        <v>91882.4</v>
      </c>
      <c r="F89" s="184">
        <v>3600</v>
      </c>
      <c r="G89" s="332">
        <v>200000</v>
      </c>
    </row>
    <row r="90" spans="2:7" ht="15.75">
      <c r="B90" s="186" t="s">
        <v>8</v>
      </c>
      <c r="C90" s="181">
        <v>619</v>
      </c>
      <c r="D90" s="182"/>
      <c r="E90" s="333"/>
      <c r="F90" s="184"/>
      <c r="G90" s="332">
        <v>2500000</v>
      </c>
    </row>
    <row r="91" spans="2:7" ht="15.75">
      <c r="B91" s="186" t="s">
        <v>448</v>
      </c>
      <c r="C91" s="181" t="s">
        <v>160</v>
      </c>
      <c r="D91" s="182"/>
      <c r="E91" s="333">
        <v>1201626</v>
      </c>
      <c r="F91" s="184">
        <v>738282</v>
      </c>
      <c r="G91" s="332"/>
    </row>
    <row r="92" spans="2:7" ht="15.75">
      <c r="B92" s="186" t="s">
        <v>449</v>
      </c>
      <c r="C92" s="181" t="s">
        <v>161</v>
      </c>
      <c r="D92" s="182"/>
      <c r="E92" s="333">
        <v>1066203</v>
      </c>
      <c r="F92" s="184">
        <v>596715</v>
      </c>
      <c r="G92" s="332"/>
    </row>
    <row r="93" spans="2:7" ht="15.75">
      <c r="B93" s="186" t="s">
        <v>450</v>
      </c>
      <c r="C93" s="181" t="s">
        <v>162</v>
      </c>
      <c r="D93" s="182"/>
      <c r="E93" s="333">
        <v>89435</v>
      </c>
      <c r="F93" s="184">
        <v>40600</v>
      </c>
      <c r="G93" s="332"/>
    </row>
    <row r="94" spans="2:7" ht="15.75">
      <c r="B94" s="186" t="s">
        <v>9</v>
      </c>
      <c r="C94" s="181">
        <v>623</v>
      </c>
      <c r="D94" s="182"/>
      <c r="E94" s="333">
        <v>5375895.52</v>
      </c>
      <c r="F94" s="184">
        <v>3392419.71</v>
      </c>
      <c r="G94" s="332">
        <v>6500000</v>
      </c>
    </row>
    <row r="95" spans="2:7" ht="15.75">
      <c r="B95" s="186" t="s">
        <v>180</v>
      </c>
      <c r="C95" s="181">
        <v>628</v>
      </c>
      <c r="D95" s="182"/>
      <c r="E95" s="333">
        <v>1639050.17</v>
      </c>
      <c r="F95" s="184">
        <v>1045125.2</v>
      </c>
      <c r="G95" s="332">
        <v>3000000</v>
      </c>
    </row>
    <row r="96" spans="2:7" ht="15.75" hidden="1">
      <c r="B96" s="186" t="s">
        <v>201</v>
      </c>
      <c r="C96" s="181">
        <v>629</v>
      </c>
      <c r="D96" s="182"/>
      <c r="E96" s="333"/>
      <c r="F96" s="184"/>
      <c r="G96" s="332"/>
    </row>
    <row r="97" spans="2:7" ht="15.75">
      <c r="B97" s="186" t="s">
        <v>75</v>
      </c>
      <c r="C97" s="181">
        <v>636</v>
      </c>
      <c r="D97" s="182"/>
      <c r="E97" s="333"/>
      <c r="F97" s="184"/>
      <c r="G97" s="332">
        <v>7000000</v>
      </c>
    </row>
    <row r="98" spans="2:7" ht="15.75">
      <c r="B98" s="186" t="s">
        <v>76</v>
      </c>
      <c r="C98" s="181" t="s">
        <v>124</v>
      </c>
      <c r="D98" s="182"/>
      <c r="E98" s="333">
        <v>3121842.6</v>
      </c>
      <c r="F98" s="184">
        <v>11340</v>
      </c>
      <c r="G98" s="332"/>
    </row>
    <row r="99" spans="2:7" ht="15.75" hidden="1">
      <c r="B99" s="186" t="s">
        <v>412</v>
      </c>
      <c r="C99" s="181" t="s">
        <v>125</v>
      </c>
      <c r="D99" s="182"/>
      <c r="E99" s="333"/>
      <c r="F99" s="184"/>
      <c r="G99" s="332"/>
    </row>
    <row r="100" spans="2:7" ht="15.75">
      <c r="B100" s="186" t="s">
        <v>413</v>
      </c>
      <c r="C100" s="181" t="s">
        <v>208</v>
      </c>
      <c r="D100" s="182"/>
      <c r="E100" s="333"/>
      <c r="F100" s="184">
        <v>5135</v>
      </c>
      <c r="G100" s="332"/>
    </row>
    <row r="101" spans="2:7" ht="15.75">
      <c r="B101" s="186" t="s">
        <v>414</v>
      </c>
      <c r="C101" s="181" t="s">
        <v>417</v>
      </c>
      <c r="D101" s="182"/>
      <c r="E101" s="333"/>
      <c r="F101" s="184">
        <v>2050</v>
      </c>
      <c r="G101" s="332"/>
    </row>
    <row r="102" spans="2:7" ht="15.75">
      <c r="B102" s="186" t="s">
        <v>415</v>
      </c>
      <c r="C102" s="181" t="s">
        <v>418</v>
      </c>
      <c r="D102" s="182"/>
      <c r="E102" s="333">
        <v>231625.43</v>
      </c>
      <c r="F102" s="184"/>
      <c r="G102" s="332"/>
    </row>
    <row r="103" spans="2:7" ht="15.75">
      <c r="B103" s="186" t="s">
        <v>416</v>
      </c>
      <c r="C103" s="181" t="s">
        <v>419</v>
      </c>
      <c r="D103" s="182"/>
      <c r="E103" s="333">
        <v>2979732.79</v>
      </c>
      <c r="F103" s="184"/>
      <c r="G103" s="332"/>
    </row>
    <row r="104" spans="2:7" ht="15.75">
      <c r="B104" s="186" t="s">
        <v>78</v>
      </c>
      <c r="C104" s="181">
        <v>637</v>
      </c>
      <c r="D104" s="182"/>
      <c r="E104" s="333"/>
      <c r="F104" s="184"/>
      <c r="G104" s="332"/>
    </row>
    <row r="105" spans="2:7" ht="15.75">
      <c r="B105" s="186" t="s">
        <v>421</v>
      </c>
      <c r="C105" s="181" t="s">
        <v>126</v>
      </c>
      <c r="D105" s="182"/>
      <c r="E105" s="55">
        <v>606409.54</v>
      </c>
      <c r="F105" s="184">
        <v>259458.78</v>
      </c>
      <c r="G105" s="332"/>
    </row>
    <row r="106" spans="2:7" ht="15.75">
      <c r="B106" s="186" t="s">
        <v>422</v>
      </c>
      <c r="C106" s="181" t="s">
        <v>127</v>
      </c>
      <c r="D106" s="182"/>
      <c r="E106" s="55">
        <v>187630.38</v>
      </c>
      <c r="F106" s="184">
        <v>70710</v>
      </c>
      <c r="G106" s="332"/>
    </row>
    <row r="107" spans="2:8" ht="15.75">
      <c r="B107" s="186" t="s">
        <v>423</v>
      </c>
      <c r="C107" s="181" t="s">
        <v>128</v>
      </c>
      <c r="D107" s="182"/>
      <c r="E107" s="55"/>
      <c r="F107" s="184">
        <v>100</v>
      </c>
      <c r="G107" s="332"/>
      <c r="H107" s="93"/>
    </row>
    <row r="108" spans="1:7" ht="15.75" hidden="1">
      <c r="A108" s="87">
        <v>0</v>
      </c>
      <c r="B108" s="186" t="s">
        <v>424</v>
      </c>
      <c r="C108" s="181" t="s">
        <v>129</v>
      </c>
      <c r="D108" s="182"/>
      <c r="E108" s="55"/>
      <c r="F108" s="184"/>
      <c r="G108" s="332"/>
    </row>
    <row r="109" spans="2:7" ht="15.75">
      <c r="B109" s="186" t="s">
        <v>425</v>
      </c>
      <c r="C109" s="181" t="s">
        <v>130</v>
      </c>
      <c r="D109" s="182"/>
      <c r="E109" s="55">
        <v>3900</v>
      </c>
      <c r="F109" s="184">
        <v>79919.46</v>
      </c>
      <c r="G109" s="332"/>
    </row>
    <row r="110" spans="2:7" ht="15.75">
      <c r="B110" s="190" t="s">
        <v>426</v>
      </c>
      <c r="C110" s="181" t="s">
        <v>420</v>
      </c>
      <c r="D110" s="182"/>
      <c r="E110" s="55">
        <v>28609.64</v>
      </c>
      <c r="F110" s="184">
        <v>950</v>
      </c>
      <c r="G110" s="332"/>
    </row>
    <row r="111" spans="2:7" ht="15.75">
      <c r="B111" s="186" t="s">
        <v>427</v>
      </c>
      <c r="C111" s="181">
        <v>637</v>
      </c>
      <c r="D111" s="182"/>
      <c r="E111" s="55">
        <v>2180028.9</v>
      </c>
      <c r="F111" s="184"/>
      <c r="G111" s="332"/>
    </row>
    <row r="112" spans="2:7" ht="15.75">
      <c r="B112" s="190" t="s">
        <v>134</v>
      </c>
      <c r="C112" s="181">
        <v>638</v>
      </c>
      <c r="D112" s="182"/>
      <c r="E112" s="333">
        <v>2406661.14</v>
      </c>
      <c r="F112" s="184"/>
      <c r="G112" s="332"/>
    </row>
    <row r="113" spans="2:7" ht="15.75">
      <c r="B113" s="190" t="s">
        <v>10</v>
      </c>
      <c r="C113" s="181">
        <v>642</v>
      </c>
      <c r="D113" s="182"/>
      <c r="E113" s="333"/>
      <c r="F113" s="184"/>
      <c r="G113" s="332"/>
    </row>
    <row r="114" spans="2:7" ht="15.75">
      <c r="B114" s="190" t="s">
        <v>428</v>
      </c>
      <c r="C114" s="181" t="s">
        <v>131</v>
      </c>
      <c r="D114" s="182"/>
      <c r="E114" s="333">
        <v>1622223.67</v>
      </c>
      <c r="F114" s="184">
        <v>269160.5</v>
      </c>
      <c r="G114" s="332">
        <v>600000</v>
      </c>
    </row>
    <row r="115" spans="2:7" ht="15.75">
      <c r="B115" s="190" t="s">
        <v>85</v>
      </c>
      <c r="C115" s="181" t="s">
        <v>132</v>
      </c>
      <c r="D115" s="182"/>
      <c r="E115" s="333">
        <v>4167493</v>
      </c>
      <c r="F115" s="184">
        <v>2140466.5</v>
      </c>
      <c r="G115" s="332">
        <v>5000000</v>
      </c>
    </row>
    <row r="116" spans="2:7" ht="15.75" hidden="1">
      <c r="B116" s="190" t="s">
        <v>429</v>
      </c>
      <c r="C116" s="181" t="s">
        <v>133</v>
      </c>
      <c r="D116" s="182"/>
      <c r="E116" s="333"/>
      <c r="F116" s="184"/>
      <c r="G116" s="332"/>
    </row>
    <row r="117" spans="2:7" ht="15.75">
      <c r="B117" s="190" t="s">
        <v>430</v>
      </c>
      <c r="C117" s="181" t="s">
        <v>133</v>
      </c>
      <c r="D117" s="182"/>
      <c r="E117" s="333">
        <v>332886.83</v>
      </c>
      <c r="F117" s="184">
        <v>74822.06</v>
      </c>
      <c r="G117" s="332">
        <v>300000</v>
      </c>
    </row>
    <row r="118" spans="2:7" ht="15.75">
      <c r="B118" s="190" t="s">
        <v>431</v>
      </c>
      <c r="C118" s="181" t="s">
        <v>179</v>
      </c>
      <c r="D118" s="182"/>
      <c r="E118" s="333">
        <v>100526.21</v>
      </c>
      <c r="F118" s="184">
        <v>38466</v>
      </c>
      <c r="G118" s="332">
        <v>50000</v>
      </c>
    </row>
    <row r="119" spans="2:7" ht="15.75">
      <c r="B119" s="190" t="s">
        <v>432</v>
      </c>
      <c r="C119" s="181" t="s">
        <v>194</v>
      </c>
      <c r="D119" s="182"/>
      <c r="E119" s="333">
        <v>5542391.68</v>
      </c>
      <c r="F119" s="184">
        <v>1752220.02</v>
      </c>
      <c r="G119" s="332"/>
    </row>
    <row r="120" spans="2:7" ht="15.75">
      <c r="B120" s="190" t="s">
        <v>433</v>
      </c>
      <c r="C120" s="181" t="s">
        <v>376</v>
      </c>
      <c r="D120" s="182"/>
      <c r="E120" s="333"/>
      <c r="F120" s="184">
        <v>270</v>
      </c>
      <c r="G120" s="332"/>
    </row>
    <row r="121" spans="2:7" ht="15.75">
      <c r="B121" s="190" t="s">
        <v>163</v>
      </c>
      <c r="C121" s="181">
        <v>648</v>
      </c>
      <c r="D121" s="182"/>
      <c r="E121" s="333"/>
      <c r="F121" s="184"/>
      <c r="G121" s="332"/>
    </row>
    <row r="122" spans="2:7" ht="15.75">
      <c r="B122" s="190" t="s">
        <v>434</v>
      </c>
      <c r="C122" s="181" t="s">
        <v>191</v>
      </c>
      <c r="D122" s="182"/>
      <c r="E122" s="333">
        <v>2040501.2</v>
      </c>
      <c r="F122" s="184">
        <f>1057339.17+15806+1550</f>
        <v>1074695.17</v>
      </c>
      <c r="G122" s="332">
        <v>1500000</v>
      </c>
    </row>
    <row r="123" spans="2:7" ht="15.75" hidden="1">
      <c r="B123" s="190" t="s">
        <v>435</v>
      </c>
      <c r="C123" s="181" t="s">
        <v>167</v>
      </c>
      <c r="D123" s="182"/>
      <c r="E123" s="333"/>
      <c r="F123" s="184"/>
      <c r="G123" s="332"/>
    </row>
    <row r="124" spans="2:7" ht="15.75">
      <c r="B124" s="190" t="s">
        <v>436</v>
      </c>
      <c r="C124" s="181" t="s">
        <v>184</v>
      </c>
      <c r="D124" s="182"/>
      <c r="E124" s="333">
        <v>50591826.98</v>
      </c>
      <c r="F124" s="184">
        <f>28077096.79+563191.59</f>
        <v>28640288.38</v>
      </c>
      <c r="G124" s="332"/>
    </row>
    <row r="125" spans="2:7" ht="15.75">
      <c r="B125" s="190" t="s">
        <v>437</v>
      </c>
      <c r="C125" s="181" t="s">
        <v>169</v>
      </c>
      <c r="D125" s="182"/>
      <c r="E125" s="333">
        <v>14844389</v>
      </c>
      <c r="F125" s="184">
        <v>8128850</v>
      </c>
      <c r="G125" s="332">
        <v>10000000</v>
      </c>
    </row>
    <row r="126" spans="2:7" ht="15.75">
      <c r="B126" s="190" t="s">
        <v>438</v>
      </c>
      <c r="C126" s="181" t="s">
        <v>182</v>
      </c>
      <c r="D126" s="182"/>
      <c r="E126" s="333">
        <v>1491308.78</v>
      </c>
      <c r="F126" s="184">
        <v>1521403.6</v>
      </c>
      <c r="G126" s="332">
        <v>2500000</v>
      </c>
    </row>
    <row r="127" spans="2:7" ht="15.75">
      <c r="B127" s="190" t="s">
        <v>439</v>
      </c>
      <c r="C127" s="181" t="s">
        <v>192</v>
      </c>
      <c r="D127" s="182"/>
      <c r="E127" s="333">
        <v>757383.87</v>
      </c>
      <c r="F127" s="184">
        <v>582731.23</v>
      </c>
      <c r="G127" s="332">
        <v>500000</v>
      </c>
    </row>
    <row r="128" spans="2:7" ht="15.75">
      <c r="B128" s="190" t="s">
        <v>440</v>
      </c>
      <c r="C128" s="181" t="s">
        <v>170</v>
      </c>
      <c r="D128" s="182"/>
      <c r="E128" s="333"/>
      <c r="F128" s="184"/>
      <c r="G128" s="332">
        <v>50000</v>
      </c>
    </row>
    <row r="129" spans="2:7" ht="15.75">
      <c r="B129" s="190" t="s">
        <v>441</v>
      </c>
      <c r="C129" s="181" t="s">
        <v>171</v>
      </c>
      <c r="D129" s="182"/>
      <c r="E129" s="333">
        <v>894346.29</v>
      </c>
      <c r="F129" s="184"/>
      <c r="G129" s="332"/>
    </row>
    <row r="130" spans="2:7" ht="15.75">
      <c r="B130" s="190" t="s">
        <v>195</v>
      </c>
      <c r="C130" s="181">
        <v>649</v>
      </c>
      <c r="D130" s="182"/>
      <c r="E130" s="333">
        <v>2654815</v>
      </c>
      <c r="F130" s="184"/>
      <c r="G130" s="332">
        <v>2000000</v>
      </c>
    </row>
    <row r="131" spans="1:8" s="101" customFormat="1" ht="15.75">
      <c r="A131" s="87"/>
      <c r="B131" s="190" t="s">
        <v>442</v>
      </c>
      <c r="C131" s="181" t="s">
        <v>443</v>
      </c>
      <c r="D131" s="182"/>
      <c r="E131" s="333"/>
      <c r="F131" s="184">
        <v>2009870</v>
      </c>
      <c r="G131" s="332"/>
      <c r="H131" s="87"/>
    </row>
    <row r="132" spans="1:8" s="101" customFormat="1" ht="15.75" hidden="1">
      <c r="A132" s="87"/>
      <c r="B132" s="190" t="s">
        <v>11</v>
      </c>
      <c r="C132" s="181">
        <v>662</v>
      </c>
      <c r="D132" s="182"/>
      <c r="E132" s="333"/>
      <c r="F132" s="184"/>
      <c r="G132" s="332"/>
      <c r="H132" s="87"/>
    </row>
    <row r="133" spans="1:8" s="101" customFormat="1" ht="15.75">
      <c r="A133" s="87"/>
      <c r="B133" s="190" t="s">
        <v>12</v>
      </c>
      <c r="C133" s="181">
        <v>664</v>
      </c>
      <c r="D133" s="182"/>
      <c r="E133" s="333">
        <v>393533.83</v>
      </c>
      <c r="F133" s="184">
        <v>371601.53</v>
      </c>
      <c r="G133" s="332">
        <v>250000</v>
      </c>
      <c r="H133" s="87"/>
    </row>
    <row r="134" spans="1:8" s="101" customFormat="1" ht="15.75">
      <c r="A134" s="87"/>
      <c r="B134" s="190" t="s">
        <v>13</v>
      </c>
      <c r="C134" s="181">
        <v>665</v>
      </c>
      <c r="D134" s="182"/>
      <c r="E134" s="333">
        <v>1378601436</v>
      </c>
      <c r="F134" s="184">
        <v>772217268</v>
      </c>
      <c r="G134" s="332">
        <v>1547961109</v>
      </c>
      <c r="H134" s="87"/>
    </row>
    <row r="135" spans="1:8" s="101" customFormat="1" ht="15.75">
      <c r="A135" s="87"/>
      <c r="B135" s="190" t="s">
        <v>14</v>
      </c>
      <c r="C135" s="181">
        <v>670</v>
      </c>
      <c r="D135" s="182"/>
      <c r="E135" s="333">
        <v>705687.91</v>
      </c>
      <c r="F135" s="184">
        <v>634863.6</v>
      </c>
      <c r="G135" s="332"/>
      <c r="H135" s="87"/>
    </row>
    <row r="136" spans="1:8" s="101" customFormat="1" ht="15.75">
      <c r="A136" s="87"/>
      <c r="B136" s="190" t="s">
        <v>216</v>
      </c>
      <c r="C136" s="181">
        <v>672</v>
      </c>
      <c r="D136" s="182"/>
      <c r="E136" s="333"/>
      <c r="F136" s="184">
        <v>326867.03</v>
      </c>
      <c r="G136" s="332"/>
      <c r="H136" s="87"/>
    </row>
    <row r="137" spans="1:8" s="101" customFormat="1" ht="15.75">
      <c r="A137" s="87"/>
      <c r="B137" s="190" t="s">
        <v>164</v>
      </c>
      <c r="C137" s="181">
        <v>678</v>
      </c>
      <c r="D137" s="182"/>
      <c r="E137" s="333"/>
      <c r="F137" s="184"/>
      <c r="G137" s="332"/>
      <c r="H137" s="87"/>
    </row>
    <row r="138" spans="1:8" s="101" customFormat="1" ht="15.75">
      <c r="A138" s="87"/>
      <c r="B138" s="190" t="s">
        <v>354</v>
      </c>
      <c r="C138" s="181" t="s">
        <v>355</v>
      </c>
      <c r="D138" s="182"/>
      <c r="E138" s="333">
        <v>61794.15</v>
      </c>
      <c r="F138" s="184"/>
      <c r="G138" s="332"/>
      <c r="H138" s="87"/>
    </row>
    <row r="139" spans="1:8" s="101" customFormat="1" ht="15.75" hidden="1">
      <c r="A139" s="87"/>
      <c r="B139" s="190" t="s">
        <v>359</v>
      </c>
      <c r="C139" s="181" t="s">
        <v>356</v>
      </c>
      <c r="D139" s="182"/>
      <c r="E139" s="333"/>
      <c r="F139" s="184"/>
      <c r="G139" s="332"/>
      <c r="H139" s="87"/>
    </row>
    <row r="140" spans="1:8" s="101" customFormat="1" ht="15.75">
      <c r="A140" s="87"/>
      <c r="B140" s="190" t="s">
        <v>360</v>
      </c>
      <c r="C140" s="181" t="s">
        <v>357</v>
      </c>
      <c r="D140" s="182"/>
      <c r="E140" s="333">
        <v>87796.66</v>
      </c>
      <c r="F140" s="184">
        <v>5843</v>
      </c>
      <c r="G140" s="332"/>
      <c r="H140" s="87"/>
    </row>
    <row r="141" spans="1:8" s="101" customFormat="1" ht="15.75" hidden="1">
      <c r="A141" s="87"/>
      <c r="B141" s="190" t="s">
        <v>361</v>
      </c>
      <c r="C141" s="181" t="s">
        <v>358</v>
      </c>
      <c r="D141" s="182"/>
      <c r="E141" s="184"/>
      <c r="F141" s="184"/>
      <c r="G141" s="332"/>
      <c r="H141" s="87"/>
    </row>
    <row r="142" spans="1:8" s="101" customFormat="1" ht="15.75" hidden="1">
      <c r="A142" s="87"/>
      <c r="B142" s="190" t="s">
        <v>186</v>
      </c>
      <c r="C142" s="181"/>
      <c r="D142" s="182"/>
      <c r="E142" s="182"/>
      <c r="F142" s="184"/>
      <c r="G142" s="335"/>
      <c r="H142" s="87"/>
    </row>
    <row r="143" spans="1:8" s="101" customFormat="1" ht="16.5" thickBot="1">
      <c r="A143" s="87"/>
      <c r="B143" s="192" t="s">
        <v>217</v>
      </c>
      <c r="C143" s="181"/>
      <c r="D143" s="182"/>
      <c r="E143" s="193">
        <f>SUM(E14:E142)</f>
        <v>1783780315.2000003</v>
      </c>
      <c r="F143" s="193">
        <f>SUM(F14:F142)</f>
        <v>1043814162.7900001</v>
      </c>
      <c r="G143" s="193">
        <f>SUM(G14:G142)</f>
        <v>1891511109</v>
      </c>
      <c r="H143" s="87"/>
    </row>
    <row r="144" spans="1:8" s="101" customFormat="1" ht="17.25" thickBot="1" thickTop="1">
      <c r="A144" s="87"/>
      <c r="B144" s="190"/>
      <c r="C144" s="181"/>
      <c r="D144" s="182"/>
      <c r="E144" s="194"/>
      <c r="F144" s="195"/>
      <c r="G144" s="196"/>
      <c r="H144" s="87"/>
    </row>
    <row r="145" spans="1:8" s="101" customFormat="1" ht="15.75" hidden="1">
      <c r="A145" s="87"/>
      <c r="B145" s="190"/>
      <c r="C145" s="181"/>
      <c r="D145" s="182"/>
      <c r="E145" s="197"/>
      <c r="F145" s="184"/>
      <c r="G145" s="189"/>
      <c r="H145" s="87"/>
    </row>
    <row r="146" spans="1:8" s="101" customFormat="1" ht="15.75" hidden="1">
      <c r="A146" s="87"/>
      <c r="B146" s="198" t="s">
        <v>218</v>
      </c>
      <c r="C146" s="181"/>
      <c r="D146" s="199"/>
      <c r="E146" s="199"/>
      <c r="F146" s="199"/>
      <c r="G146" s="200"/>
      <c r="H146" s="87"/>
    </row>
    <row r="147" spans="1:8" s="101" customFormat="1" ht="15.75" hidden="1">
      <c r="A147" s="87"/>
      <c r="B147" s="201" t="s">
        <v>219</v>
      </c>
      <c r="C147" s="181"/>
      <c r="D147" s="199"/>
      <c r="E147" s="199"/>
      <c r="F147" s="199"/>
      <c r="G147" s="200"/>
      <c r="H147" s="87"/>
    </row>
    <row r="148" spans="1:8" s="101" customFormat="1" ht="15.75" hidden="1">
      <c r="A148" s="87"/>
      <c r="B148" s="201" t="s">
        <v>220</v>
      </c>
      <c r="C148" s="181"/>
      <c r="D148" s="202"/>
      <c r="E148" s="202"/>
      <c r="F148" s="202"/>
      <c r="G148" s="203"/>
      <c r="H148" s="87"/>
    </row>
    <row r="149" spans="1:8" s="101" customFormat="1" ht="15.75" hidden="1">
      <c r="A149" s="87"/>
      <c r="B149" s="204" t="s">
        <v>221</v>
      </c>
      <c r="C149" s="181">
        <v>701</v>
      </c>
      <c r="D149" s="205"/>
      <c r="E149" s="205">
        <v>202157883.27</v>
      </c>
      <c r="F149" s="205">
        <v>109762572.94</v>
      </c>
      <c r="G149" s="206"/>
      <c r="H149" s="87"/>
    </row>
    <row r="150" spans="1:8" s="101" customFormat="1" ht="15.75" hidden="1">
      <c r="A150" s="87"/>
      <c r="B150" s="204" t="s">
        <v>222</v>
      </c>
      <c r="C150" s="181">
        <v>703</v>
      </c>
      <c r="D150" s="205"/>
      <c r="E150" s="205"/>
      <c r="F150" s="205"/>
      <c r="G150" s="206"/>
      <c r="H150" s="87"/>
    </row>
    <row r="151" spans="1:8" s="101" customFormat="1" ht="15.75" hidden="1">
      <c r="A151" s="87"/>
      <c r="B151" s="204" t="s">
        <v>223</v>
      </c>
      <c r="C151" s="181">
        <v>705</v>
      </c>
      <c r="D151" s="205"/>
      <c r="E151" s="205"/>
      <c r="F151" s="207">
        <v>815910</v>
      </c>
      <c r="G151" s="206"/>
      <c r="H151" s="87"/>
    </row>
    <row r="152" spans="1:8" s="101" customFormat="1" ht="15.75" hidden="1">
      <c r="A152" s="87"/>
      <c r="B152" s="204" t="s">
        <v>224</v>
      </c>
      <c r="C152" s="181">
        <v>706</v>
      </c>
      <c r="D152" s="205"/>
      <c r="E152" s="205"/>
      <c r="F152" s="205">
        <v>4326146.68</v>
      </c>
      <c r="G152" s="206"/>
      <c r="H152" s="87"/>
    </row>
    <row r="153" spans="1:8" s="101" customFormat="1" ht="15.75" hidden="1">
      <c r="A153" s="87"/>
      <c r="B153" s="204" t="s">
        <v>225</v>
      </c>
      <c r="C153" s="181">
        <v>711</v>
      </c>
      <c r="D153" s="205"/>
      <c r="E153" s="205">
        <v>20762976.85</v>
      </c>
      <c r="F153" s="205">
        <v>10380111.54</v>
      </c>
      <c r="G153" s="206"/>
      <c r="H153" s="87"/>
    </row>
    <row r="154" spans="1:8" s="101" customFormat="1" ht="15.75" hidden="1">
      <c r="A154" s="87"/>
      <c r="B154" s="204" t="s">
        <v>226</v>
      </c>
      <c r="C154" s="181">
        <v>713</v>
      </c>
      <c r="D154" s="205"/>
      <c r="E154" s="205">
        <v>3456965.59</v>
      </c>
      <c r="F154" s="205">
        <v>2312750</v>
      </c>
      <c r="G154" s="206"/>
      <c r="H154" s="87"/>
    </row>
    <row r="155" spans="1:8" s="101" customFormat="1" ht="15.75" hidden="1">
      <c r="A155" s="87"/>
      <c r="B155" s="204" t="s">
        <v>227</v>
      </c>
      <c r="C155" s="181">
        <v>714</v>
      </c>
      <c r="D155" s="205"/>
      <c r="E155" s="205">
        <v>741707.53</v>
      </c>
      <c r="F155" s="205">
        <v>565000</v>
      </c>
      <c r="G155" s="206"/>
      <c r="H155" s="87"/>
    </row>
    <row r="156" spans="1:8" s="101" customFormat="1" ht="15.75" hidden="1">
      <c r="A156" s="87"/>
      <c r="B156" s="204" t="s">
        <v>228</v>
      </c>
      <c r="C156" s="181">
        <v>715</v>
      </c>
      <c r="D156" s="205"/>
      <c r="E156" s="205">
        <v>3824000</v>
      </c>
      <c r="F156" s="205">
        <v>4613000</v>
      </c>
      <c r="G156" s="206"/>
      <c r="H156" s="87"/>
    </row>
    <row r="157" spans="1:8" s="101" customFormat="1" ht="15.75" hidden="1">
      <c r="A157" s="87"/>
      <c r="B157" s="204" t="s">
        <v>229</v>
      </c>
      <c r="C157" s="181">
        <v>716</v>
      </c>
      <c r="D157" s="205"/>
      <c r="E157" s="205">
        <f>163120.64+1993368.1</f>
        <v>2156488.74</v>
      </c>
      <c r="F157" s="205">
        <f>64124.3+606349.33</f>
        <v>670473.63</v>
      </c>
      <c r="G157" s="206"/>
      <c r="H157" s="87"/>
    </row>
    <row r="158" spans="1:8" s="101" customFormat="1" ht="15.75" hidden="1">
      <c r="A158" s="87"/>
      <c r="B158" s="204" t="s">
        <v>230</v>
      </c>
      <c r="C158" s="181">
        <v>717</v>
      </c>
      <c r="D158" s="205"/>
      <c r="E158" s="205">
        <v>1590000</v>
      </c>
      <c r="F158" s="205">
        <v>3770000</v>
      </c>
      <c r="G158" s="206"/>
      <c r="H158" s="87"/>
    </row>
    <row r="159" spans="1:8" s="101" customFormat="1" ht="15.75" hidden="1">
      <c r="A159" s="87"/>
      <c r="B159" s="204" t="s">
        <v>231</v>
      </c>
      <c r="C159" s="181">
        <v>719</v>
      </c>
      <c r="D159" s="205"/>
      <c r="E159" s="205">
        <v>49601215.87</v>
      </c>
      <c r="F159" s="205">
        <v>22577950.91</v>
      </c>
      <c r="G159" s="206"/>
      <c r="H159" s="87"/>
    </row>
    <row r="160" spans="1:8" s="101" customFormat="1" ht="15.75" hidden="1">
      <c r="A160" s="87"/>
      <c r="B160" s="204" t="s">
        <v>232</v>
      </c>
      <c r="C160" s="181">
        <v>720</v>
      </c>
      <c r="D160" s="205"/>
      <c r="E160" s="205">
        <v>1794900</v>
      </c>
      <c r="F160" s="205">
        <v>294000</v>
      </c>
      <c r="G160" s="206"/>
      <c r="H160" s="87"/>
    </row>
    <row r="161" spans="1:8" s="101" customFormat="1" ht="15.75" hidden="1">
      <c r="A161" s="87"/>
      <c r="B161" s="204" t="s">
        <v>233</v>
      </c>
      <c r="C161" s="181">
        <v>721</v>
      </c>
      <c r="D161" s="205"/>
      <c r="E161" s="205">
        <v>7633899.1</v>
      </c>
      <c r="F161" s="205">
        <v>2695975.02</v>
      </c>
      <c r="G161" s="206"/>
      <c r="H161" s="87"/>
    </row>
    <row r="162" spans="1:8" s="101" customFormat="1" ht="15.75" hidden="1">
      <c r="A162" s="87"/>
      <c r="B162" s="204" t="s">
        <v>234</v>
      </c>
      <c r="C162" s="181">
        <v>723</v>
      </c>
      <c r="D162" s="205"/>
      <c r="E162" s="205"/>
      <c r="F162" s="205"/>
      <c r="G162" s="206"/>
      <c r="H162" s="87"/>
    </row>
    <row r="163" spans="1:8" s="101" customFormat="1" ht="15.75" hidden="1">
      <c r="A163" s="87"/>
      <c r="B163" s="204" t="s">
        <v>235</v>
      </c>
      <c r="C163" s="181">
        <v>724</v>
      </c>
      <c r="D163" s="205"/>
      <c r="E163" s="205">
        <v>4796250</v>
      </c>
      <c r="F163" s="205">
        <v>1940000</v>
      </c>
      <c r="G163" s="206"/>
      <c r="H163" s="87"/>
    </row>
    <row r="164" spans="1:8" s="101" customFormat="1" ht="15.75" hidden="1">
      <c r="A164" s="87"/>
      <c r="B164" s="204" t="s">
        <v>236</v>
      </c>
      <c r="C164" s="181">
        <v>725</v>
      </c>
      <c r="D164" s="205"/>
      <c r="E164" s="205">
        <v>17491240.73</v>
      </c>
      <c r="F164" s="205">
        <v>7938802</v>
      </c>
      <c r="G164" s="206"/>
      <c r="H164" s="87"/>
    </row>
    <row r="165" spans="1:8" s="101" customFormat="1" ht="15.75" hidden="1">
      <c r="A165" s="87"/>
      <c r="B165" s="204" t="s">
        <v>237</v>
      </c>
      <c r="C165" s="181">
        <v>731</v>
      </c>
      <c r="D165" s="205"/>
      <c r="E165" s="205">
        <v>23880275.71</v>
      </c>
      <c r="F165" s="205">
        <v>13051524.62</v>
      </c>
      <c r="G165" s="206"/>
      <c r="H165" s="87"/>
    </row>
    <row r="166" spans="1:8" s="101" customFormat="1" ht="15.75" hidden="1">
      <c r="A166" s="87"/>
      <c r="B166" s="204" t="s">
        <v>238</v>
      </c>
      <c r="C166" s="181">
        <v>732</v>
      </c>
      <c r="D166" s="205"/>
      <c r="E166" s="205">
        <v>3978114.4</v>
      </c>
      <c r="F166" s="205">
        <v>2175253.86</v>
      </c>
      <c r="G166" s="206"/>
      <c r="H166" s="87"/>
    </row>
    <row r="167" spans="1:8" s="101" customFormat="1" ht="15.75" hidden="1">
      <c r="A167" s="87"/>
      <c r="B167" s="204" t="s">
        <v>239</v>
      </c>
      <c r="C167" s="181">
        <v>733</v>
      </c>
      <c r="D167" s="205"/>
      <c r="E167" s="205">
        <v>2238904.14</v>
      </c>
      <c r="F167" s="205">
        <v>1231512.5</v>
      </c>
      <c r="G167" s="206"/>
      <c r="H167" s="87"/>
    </row>
    <row r="168" spans="1:8" s="101" customFormat="1" ht="15.75" hidden="1">
      <c r="A168" s="87"/>
      <c r="B168" s="204" t="s">
        <v>240</v>
      </c>
      <c r="C168" s="181">
        <v>734</v>
      </c>
      <c r="D168" s="205"/>
      <c r="E168" s="205">
        <v>1044920.82</v>
      </c>
      <c r="F168" s="205">
        <v>523439.26</v>
      </c>
      <c r="G168" s="206"/>
      <c r="H168" s="87"/>
    </row>
    <row r="169" spans="1:8" s="101" customFormat="1" ht="15.75" hidden="1">
      <c r="A169" s="87"/>
      <c r="B169" s="204" t="s">
        <v>241</v>
      </c>
      <c r="C169" s="181">
        <v>742</v>
      </c>
      <c r="D169" s="205"/>
      <c r="E169" s="205">
        <v>3013782.21</v>
      </c>
      <c r="F169" s="205">
        <v>3041418.48</v>
      </c>
      <c r="G169" s="206"/>
      <c r="H169" s="87"/>
    </row>
    <row r="170" spans="1:8" s="101" customFormat="1" ht="15.75" hidden="1">
      <c r="A170" s="87"/>
      <c r="B170" s="204" t="s">
        <v>242</v>
      </c>
      <c r="C170" s="181">
        <v>743</v>
      </c>
      <c r="D170" s="205"/>
      <c r="E170" s="205">
        <v>3451740</v>
      </c>
      <c r="F170" s="205"/>
      <c r="G170" s="206"/>
      <c r="H170" s="87"/>
    </row>
    <row r="171" spans="1:8" s="101" customFormat="1" ht="15.75" hidden="1">
      <c r="A171" s="87"/>
      <c r="B171" s="204" t="s">
        <v>243</v>
      </c>
      <c r="C171" s="181">
        <v>749</v>
      </c>
      <c r="D171" s="205"/>
      <c r="E171" s="205">
        <v>10861123.73</v>
      </c>
      <c r="F171" s="205">
        <v>8678446.44</v>
      </c>
      <c r="G171" s="206"/>
      <c r="H171" s="87"/>
    </row>
    <row r="172" spans="1:8" s="101" customFormat="1" ht="15.75" hidden="1">
      <c r="A172" s="87"/>
      <c r="B172" s="204" t="s">
        <v>244</v>
      </c>
      <c r="C172" s="181" t="s">
        <v>245</v>
      </c>
      <c r="D172" s="205"/>
      <c r="E172" s="205">
        <v>795000</v>
      </c>
      <c r="F172" s="205">
        <v>590000</v>
      </c>
      <c r="G172" s="206"/>
      <c r="H172" s="87"/>
    </row>
    <row r="173" spans="1:8" s="101" customFormat="1" ht="15.75" hidden="1">
      <c r="A173" s="87"/>
      <c r="B173" s="204" t="s">
        <v>363</v>
      </c>
      <c r="C173" s="181" t="s">
        <v>364</v>
      </c>
      <c r="D173" s="205"/>
      <c r="E173" s="205"/>
      <c r="F173" s="205">
        <v>2367000</v>
      </c>
      <c r="G173" s="206"/>
      <c r="H173" s="87"/>
    </row>
    <row r="174" spans="1:8" s="101" customFormat="1" ht="15.75" hidden="1">
      <c r="A174" s="87"/>
      <c r="B174" s="201" t="s">
        <v>246</v>
      </c>
      <c r="C174" s="181"/>
      <c r="D174" s="208">
        <f>SUM(D149:D173)</f>
        <v>0</v>
      </c>
      <c r="E174" s="208">
        <f>SUM(E149:E173)</f>
        <v>365271388.69</v>
      </c>
      <c r="F174" s="208">
        <f>SUM(F149:F173)</f>
        <v>204321287.88</v>
      </c>
      <c r="G174" s="209">
        <f>SUM(G149:G173)</f>
        <v>0</v>
      </c>
      <c r="H174" s="87"/>
    </row>
    <row r="175" spans="1:8" s="101" customFormat="1" ht="15.75" hidden="1">
      <c r="A175" s="87"/>
      <c r="B175" s="201"/>
      <c r="C175" s="181"/>
      <c r="D175" s="205"/>
      <c r="E175" s="205"/>
      <c r="F175" s="205"/>
      <c r="G175" s="206"/>
      <c r="H175" s="87"/>
    </row>
    <row r="176" spans="1:8" s="101" customFormat="1" ht="15.75" hidden="1">
      <c r="A176" s="87"/>
      <c r="B176" s="201"/>
      <c r="C176" s="181"/>
      <c r="D176" s="205"/>
      <c r="E176" s="205"/>
      <c r="F176" s="205"/>
      <c r="G176" s="206"/>
      <c r="H176" s="87"/>
    </row>
    <row r="177" spans="1:8" s="101" customFormat="1" ht="15.75" hidden="1">
      <c r="A177" s="87"/>
      <c r="B177" s="201" t="s">
        <v>247</v>
      </c>
      <c r="C177" s="181"/>
      <c r="D177" s="205"/>
      <c r="E177" s="205"/>
      <c r="F177" s="205"/>
      <c r="G177" s="206"/>
      <c r="H177" s="87"/>
    </row>
    <row r="178" spans="1:8" s="101" customFormat="1" ht="15.75" hidden="1">
      <c r="A178" s="87"/>
      <c r="B178" s="204" t="s">
        <v>248</v>
      </c>
      <c r="C178" s="181">
        <v>751</v>
      </c>
      <c r="D178" s="205"/>
      <c r="E178" s="205">
        <v>10858581.94</v>
      </c>
      <c r="F178" s="205">
        <v>4651795.48</v>
      </c>
      <c r="G178" s="206"/>
      <c r="H178" s="87"/>
    </row>
    <row r="179" spans="1:8" s="101" customFormat="1" ht="15.75" hidden="1">
      <c r="A179" s="87"/>
      <c r="B179" s="204" t="s">
        <v>249</v>
      </c>
      <c r="C179" s="181">
        <v>752</v>
      </c>
      <c r="D179" s="205"/>
      <c r="E179" s="205">
        <v>109919.25</v>
      </c>
      <c r="F179" s="205"/>
      <c r="G179" s="206"/>
      <c r="H179" s="87"/>
    </row>
    <row r="180" spans="1:8" s="101" customFormat="1" ht="15.75" hidden="1">
      <c r="A180" s="87"/>
      <c r="B180" s="204" t="s">
        <v>250</v>
      </c>
      <c r="C180" s="181">
        <v>753</v>
      </c>
      <c r="D180" s="205"/>
      <c r="E180" s="205">
        <v>5581179.18</v>
      </c>
      <c r="F180" s="205">
        <v>1017530.7</v>
      </c>
      <c r="G180" s="206"/>
      <c r="H180" s="87"/>
    </row>
    <row r="181" spans="1:8" s="101" customFormat="1" ht="15.75" hidden="1">
      <c r="A181" s="87"/>
      <c r="B181" s="204" t="s">
        <v>251</v>
      </c>
      <c r="C181" s="181">
        <v>755</v>
      </c>
      <c r="D181" s="205"/>
      <c r="E181" s="205">
        <v>11872939.45</v>
      </c>
      <c r="F181" s="205">
        <v>4107689.65</v>
      </c>
      <c r="G181" s="206"/>
      <c r="H181" s="87"/>
    </row>
    <row r="182" spans="1:8" s="101" customFormat="1" ht="15.75" hidden="1">
      <c r="A182" s="87"/>
      <c r="B182" s="204" t="s">
        <v>252</v>
      </c>
      <c r="C182" s="181">
        <v>756</v>
      </c>
      <c r="D182" s="205"/>
      <c r="E182" s="205">
        <v>917325.5</v>
      </c>
      <c r="F182" s="205">
        <v>704627</v>
      </c>
      <c r="G182" s="206"/>
      <c r="H182" s="87"/>
    </row>
    <row r="183" spans="1:8" s="101" customFormat="1" ht="15.75" hidden="1">
      <c r="A183" s="87"/>
      <c r="B183" s="204" t="s">
        <v>253</v>
      </c>
      <c r="C183" s="181">
        <v>757</v>
      </c>
      <c r="D183" s="205"/>
      <c r="E183" s="205">
        <v>562072</v>
      </c>
      <c r="F183" s="205">
        <v>593650</v>
      </c>
      <c r="G183" s="206"/>
      <c r="H183" s="87"/>
    </row>
    <row r="184" spans="1:8" s="101" customFormat="1" ht="15.75" hidden="1">
      <c r="A184" s="87"/>
      <c r="B184" s="204" t="s">
        <v>254</v>
      </c>
      <c r="C184" s="181">
        <v>758</v>
      </c>
      <c r="D184" s="205"/>
      <c r="E184" s="205">
        <v>442972.5</v>
      </c>
      <c r="F184" s="205"/>
      <c r="G184" s="206"/>
      <c r="H184" s="87"/>
    </row>
    <row r="185" spans="1:8" s="101" customFormat="1" ht="15.75" hidden="1">
      <c r="A185" s="87"/>
      <c r="B185" s="204" t="s">
        <v>255</v>
      </c>
      <c r="C185" s="181">
        <v>759</v>
      </c>
      <c r="D185" s="205"/>
      <c r="E185" s="205">
        <v>10455308.95</v>
      </c>
      <c r="F185" s="205">
        <v>6349849</v>
      </c>
      <c r="G185" s="206"/>
      <c r="H185" s="87"/>
    </row>
    <row r="186" spans="1:8" s="101" customFormat="1" ht="15.75" hidden="1">
      <c r="A186" s="87"/>
      <c r="B186" s="204" t="s">
        <v>256</v>
      </c>
      <c r="C186" s="181">
        <v>760</v>
      </c>
      <c r="D186" s="205"/>
      <c r="E186" s="205">
        <v>3951419.8</v>
      </c>
      <c r="F186" s="205">
        <v>303606</v>
      </c>
      <c r="G186" s="206"/>
      <c r="H186" s="87"/>
    </row>
    <row r="187" spans="1:8" s="101" customFormat="1" ht="15.75" hidden="1">
      <c r="A187" s="87"/>
      <c r="B187" s="204" t="s">
        <v>257</v>
      </c>
      <c r="C187" s="181">
        <v>761</v>
      </c>
      <c r="D187" s="205"/>
      <c r="E187" s="205">
        <v>73915430.24</v>
      </c>
      <c r="F187" s="205">
        <v>36667841.32</v>
      </c>
      <c r="G187" s="206"/>
      <c r="H187" s="87"/>
    </row>
    <row r="188" spans="1:8" s="101" customFormat="1" ht="15.75" hidden="1">
      <c r="A188" s="87"/>
      <c r="B188" s="204" t="s">
        <v>258</v>
      </c>
      <c r="C188" s="181">
        <v>762</v>
      </c>
      <c r="D188" s="205"/>
      <c r="E188" s="205">
        <v>757994.75</v>
      </c>
      <c r="F188" s="205">
        <v>236045</v>
      </c>
      <c r="G188" s="206"/>
      <c r="H188" s="87"/>
    </row>
    <row r="189" spans="1:8" s="101" customFormat="1" ht="15.75" hidden="1">
      <c r="A189" s="87"/>
      <c r="B189" s="204" t="s">
        <v>259</v>
      </c>
      <c r="C189" s="181">
        <v>763</v>
      </c>
      <c r="D189" s="205"/>
      <c r="E189" s="205"/>
      <c r="F189" s="205"/>
      <c r="G189" s="206"/>
      <c r="H189" s="87"/>
    </row>
    <row r="190" spans="1:8" s="101" customFormat="1" ht="15.75" hidden="1">
      <c r="A190" s="87"/>
      <c r="B190" s="204" t="s">
        <v>260</v>
      </c>
      <c r="C190" s="181">
        <v>765</v>
      </c>
      <c r="D190" s="205"/>
      <c r="E190" s="205">
        <v>21034544.92</v>
      </c>
      <c r="F190" s="205">
        <v>6150852.66</v>
      </c>
      <c r="G190" s="206"/>
      <c r="H190" s="87"/>
    </row>
    <row r="191" spans="1:8" s="101" customFormat="1" ht="15.75" hidden="1">
      <c r="A191" s="87"/>
      <c r="B191" s="204" t="s">
        <v>261</v>
      </c>
      <c r="C191" s="181">
        <v>766</v>
      </c>
      <c r="D191" s="205"/>
      <c r="E191" s="205">
        <v>6869135.07</v>
      </c>
      <c r="F191" s="205">
        <v>2030937.48</v>
      </c>
      <c r="G191" s="206"/>
      <c r="H191" s="87"/>
    </row>
    <row r="192" spans="1:8" s="101" customFormat="1" ht="15.75" hidden="1">
      <c r="A192" s="87"/>
      <c r="B192" s="204" t="s">
        <v>262</v>
      </c>
      <c r="C192" s="181">
        <v>767</v>
      </c>
      <c r="D192" s="205"/>
      <c r="E192" s="205">
        <v>65664314.76</v>
      </c>
      <c r="F192" s="205">
        <v>18385464.38</v>
      </c>
      <c r="G192" s="206"/>
      <c r="H192" s="87"/>
    </row>
    <row r="193" spans="1:8" s="101" customFormat="1" ht="15.75" hidden="1">
      <c r="A193" s="87"/>
      <c r="B193" s="204" t="s">
        <v>263</v>
      </c>
      <c r="C193" s="181">
        <v>771</v>
      </c>
      <c r="D193" s="205"/>
      <c r="E193" s="205">
        <v>30072.15</v>
      </c>
      <c r="F193" s="205">
        <v>1500</v>
      </c>
      <c r="G193" s="206"/>
      <c r="H193" s="87"/>
    </row>
    <row r="194" spans="1:8" s="101" customFormat="1" ht="15.75" hidden="1">
      <c r="A194" s="87"/>
      <c r="B194" s="204" t="s">
        <v>264</v>
      </c>
      <c r="C194" s="181">
        <v>772</v>
      </c>
      <c r="D194" s="205"/>
      <c r="E194" s="205">
        <v>1933985.5</v>
      </c>
      <c r="F194" s="205">
        <v>631300.49</v>
      </c>
      <c r="G194" s="206"/>
      <c r="H194" s="87"/>
    </row>
    <row r="195" spans="1:8" s="101" customFormat="1" ht="15.75" hidden="1">
      <c r="A195" s="87"/>
      <c r="B195" s="204" t="s">
        <v>265</v>
      </c>
      <c r="C195" s="181">
        <v>773</v>
      </c>
      <c r="D195" s="205"/>
      <c r="E195" s="205">
        <v>1112285.42</v>
      </c>
      <c r="F195" s="205">
        <v>502213.94</v>
      </c>
      <c r="G195" s="206"/>
      <c r="H195" s="87"/>
    </row>
    <row r="196" spans="1:8" s="101" customFormat="1" ht="15.75" hidden="1">
      <c r="A196" s="87"/>
      <c r="B196" s="204" t="s">
        <v>266</v>
      </c>
      <c r="C196" s="181">
        <v>774</v>
      </c>
      <c r="D196" s="205"/>
      <c r="E196" s="205">
        <v>298883.23</v>
      </c>
      <c r="F196" s="205">
        <v>89504.46</v>
      </c>
      <c r="G196" s="206"/>
      <c r="H196" s="87"/>
    </row>
    <row r="197" spans="1:8" s="101" customFormat="1" ht="15.75" hidden="1">
      <c r="A197" s="87"/>
      <c r="B197" s="204" t="s">
        <v>267</v>
      </c>
      <c r="C197" s="181">
        <v>775</v>
      </c>
      <c r="D197" s="205"/>
      <c r="E197" s="205"/>
      <c r="F197" s="205"/>
      <c r="G197" s="206"/>
      <c r="H197" s="87"/>
    </row>
    <row r="198" spans="1:8" s="101" customFormat="1" ht="15.75" hidden="1">
      <c r="A198" s="87"/>
      <c r="B198" s="204" t="s">
        <v>268</v>
      </c>
      <c r="C198" s="181">
        <v>778</v>
      </c>
      <c r="D198" s="205"/>
      <c r="E198" s="205"/>
      <c r="F198" s="205"/>
      <c r="G198" s="206"/>
      <c r="H198" s="87"/>
    </row>
    <row r="199" spans="1:8" s="101" customFormat="1" ht="15.75" hidden="1">
      <c r="A199" s="87"/>
      <c r="B199" s="204" t="s">
        <v>269</v>
      </c>
      <c r="C199" s="181">
        <v>780</v>
      </c>
      <c r="D199" s="205"/>
      <c r="E199" s="205">
        <v>9087088.33</v>
      </c>
      <c r="F199" s="205">
        <v>3061400.15</v>
      </c>
      <c r="G199" s="206"/>
      <c r="H199" s="87"/>
    </row>
    <row r="200" spans="1:8" s="101" customFormat="1" ht="15.75" hidden="1">
      <c r="A200" s="87"/>
      <c r="B200" s="204" t="s">
        <v>270</v>
      </c>
      <c r="C200" s="181">
        <v>781</v>
      </c>
      <c r="D200" s="205"/>
      <c r="E200" s="205">
        <v>3431632.26</v>
      </c>
      <c r="F200" s="205">
        <v>1680234.5</v>
      </c>
      <c r="G200" s="206"/>
      <c r="H200" s="87"/>
    </row>
    <row r="201" spans="1:8" s="101" customFormat="1" ht="15.75" hidden="1">
      <c r="A201" s="87"/>
      <c r="B201" s="204" t="s">
        <v>271</v>
      </c>
      <c r="C201" s="181">
        <v>782</v>
      </c>
      <c r="D201" s="205"/>
      <c r="E201" s="205">
        <v>2300701.84</v>
      </c>
      <c r="F201" s="205">
        <v>1595342.91</v>
      </c>
      <c r="G201" s="206"/>
      <c r="H201" s="87"/>
    </row>
    <row r="202" spans="1:8" s="101" customFormat="1" ht="15.75" hidden="1">
      <c r="A202" s="87"/>
      <c r="B202" s="204" t="s">
        <v>272</v>
      </c>
      <c r="C202" s="181">
        <v>783</v>
      </c>
      <c r="D202" s="205"/>
      <c r="E202" s="205">
        <v>4214151.58</v>
      </c>
      <c r="F202" s="205">
        <v>4074801.76</v>
      </c>
      <c r="G202" s="206"/>
      <c r="H202" s="87"/>
    </row>
    <row r="203" spans="1:8" s="101" customFormat="1" ht="15.75" hidden="1">
      <c r="A203" s="87"/>
      <c r="B203" s="204" t="s">
        <v>273</v>
      </c>
      <c r="C203" s="181">
        <v>784</v>
      </c>
      <c r="D203" s="205"/>
      <c r="E203" s="205">
        <v>29552.35</v>
      </c>
      <c r="F203" s="205"/>
      <c r="G203" s="206"/>
      <c r="H203" s="87"/>
    </row>
    <row r="204" spans="1:8" s="101" customFormat="1" ht="15.75" hidden="1">
      <c r="A204" s="87"/>
      <c r="B204" s="204" t="s">
        <v>274</v>
      </c>
      <c r="C204" s="181">
        <v>786</v>
      </c>
      <c r="D204" s="205"/>
      <c r="E204" s="205">
        <v>373400</v>
      </c>
      <c r="F204" s="205">
        <v>233559</v>
      </c>
      <c r="G204" s="206"/>
      <c r="H204" s="87"/>
    </row>
    <row r="205" spans="1:8" s="101" customFormat="1" ht="15.75" hidden="1">
      <c r="A205" s="87"/>
      <c r="B205" s="204" t="s">
        <v>275</v>
      </c>
      <c r="C205" s="181">
        <v>787</v>
      </c>
      <c r="D205" s="205"/>
      <c r="E205" s="205"/>
      <c r="F205" s="205"/>
      <c r="G205" s="206"/>
      <c r="H205" s="87"/>
    </row>
    <row r="206" spans="1:8" s="101" customFormat="1" ht="15.75" hidden="1">
      <c r="A206" s="87"/>
      <c r="B206" s="204" t="s">
        <v>276</v>
      </c>
      <c r="C206" s="181">
        <v>791</v>
      </c>
      <c r="D206" s="205"/>
      <c r="E206" s="205"/>
      <c r="F206" s="205"/>
      <c r="G206" s="206"/>
      <c r="H206" s="87"/>
    </row>
    <row r="207" spans="1:8" s="101" customFormat="1" ht="15.75" hidden="1">
      <c r="A207" s="87"/>
      <c r="B207" s="204" t="s">
        <v>365</v>
      </c>
      <c r="C207" s="181">
        <v>792</v>
      </c>
      <c r="D207" s="205"/>
      <c r="E207" s="205">
        <v>174720</v>
      </c>
      <c r="F207" s="205"/>
      <c r="G207" s="206"/>
      <c r="H207" s="87"/>
    </row>
    <row r="208" spans="1:8" s="101" customFormat="1" ht="15.75" hidden="1">
      <c r="A208" s="87"/>
      <c r="B208" s="204" t="s">
        <v>277</v>
      </c>
      <c r="C208" s="181">
        <v>793</v>
      </c>
      <c r="D208" s="205"/>
      <c r="E208" s="205">
        <v>679129.99</v>
      </c>
      <c r="F208" s="205">
        <v>416666.65</v>
      </c>
      <c r="G208" s="206"/>
      <c r="H208" s="87"/>
    </row>
    <row r="209" spans="1:8" s="101" customFormat="1" ht="15.75" hidden="1">
      <c r="A209" s="87"/>
      <c r="B209" s="188" t="s">
        <v>278</v>
      </c>
      <c r="C209" s="181">
        <v>795</v>
      </c>
      <c r="D209" s="205"/>
      <c r="E209" s="205">
        <v>218797115.21</v>
      </c>
      <c r="F209" s="205">
        <v>114214232.9</v>
      </c>
      <c r="G209" s="206"/>
      <c r="H209" s="87"/>
    </row>
    <row r="210" spans="1:8" s="101" customFormat="1" ht="15.75" hidden="1">
      <c r="A210" s="87"/>
      <c r="B210" s="188" t="s">
        <v>279</v>
      </c>
      <c r="C210" s="181">
        <v>799</v>
      </c>
      <c r="D210" s="205"/>
      <c r="E210" s="205">
        <v>5599666</v>
      </c>
      <c r="F210" s="205">
        <v>56000</v>
      </c>
      <c r="G210" s="206"/>
      <c r="H210" s="87"/>
    </row>
    <row r="211" spans="1:8" s="101" customFormat="1" ht="15.75" hidden="1">
      <c r="A211" s="87"/>
      <c r="B211" s="188" t="s">
        <v>280</v>
      </c>
      <c r="C211" s="181">
        <v>802</v>
      </c>
      <c r="D211" s="205"/>
      <c r="E211" s="205"/>
      <c r="F211" s="205"/>
      <c r="G211" s="206"/>
      <c r="H211" s="87"/>
    </row>
    <row r="212" spans="1:8" s="101" customFormat="1" ht="15.75" hidden="1">
      <c r="A212" s="87"/>
      <c r="B212" s="188" t="s">
        <v>281</v>
      </c>
      <c r="C212" s="181">
        <v>805</v>
      </c>
      <c r="D212" s="205"/>
      <c r="E212" s="205"/>
      <c r="F212" s="205"/>
      <c r="G212" s="206"/>
      <c r="H212" s="87"/>
    </row>
    <row r="213" spans="1:8" s="101" customFormat="1" ht="15.75" hidden="1">
      <c r="A213" s="87"/>
      <c r="B213" s="188" t="s">
        <v>282</v>
      </c>
      <c r="C213" s="181">
        <v>811</v>
      </c>
      <c r="D213" s="205"/>
      <c r="E213" s="205">
        <v>879649.58</v>
      </c>
      <c r="F213" s="205">
        <v>63000</v>
      </c>
      <c r="G213" s="206"/>
      <c r="H213" s="87"/>
    </row>
    <row r="214" spans="1:8" s="101" customFormat="1" ht="15.75" hidden="1">
      <c r="A214" s="87"/>
      <c r="B214" s="188" t="s">
        <v>283</v>
      </c>
      <c r="C214" s="181">
        <v>812</v>
      </c>
      <c r="D214" s="205"/>
      <c r="E214" s="205">
        <v>236097</v>
      </c>
      <c r="F214" s="205"/>
      <c r="G214" s="206"/>
      <c r="H214" s="87"/>
    </row>
    <row r="215" spans="1:8" s="101" customFormat="1" ht="15.75" hidden="1">
      <c r="A215" s="87"/>
      <c r="B215" s="188" t="s">
        <v>284</v>
      </c>
      <c r="C215" s="181">
        <v>813</v>
      </c>
      <c r="D215" s="205"/>
      <c r="E215" s="205">
        <v>373500</v>
      </c>
      <c r="F215" s="205"/>
      <c r="G215" s="206"/>
      <c r="H215" s="87"/>
    </row>
    <row r="216" spans="1:8" s="101" customFormat="1" ht="15.75" hidden="1">
      <c r="A216" s="87"/>
      <c r="B216" s="188" t="s">
        <v>285</v>
      </c>
      <c r="C216" s="181">
        <v>814</v>
      </c>
      <c r="D216" s="205"/>
      <c r="E216" s="205">
        <v>72000</v>
      </c>
      <c r="F216" s="205">
        <v>17100</v>
      </c>
      <c r="G216" s="206"/>
      <c r="H216" s="87"/>
    </row>
    <row r="217" spans="1:8" s="101" customFormat="1" ht="15.75" hidden="1">
      <c r="A217" s="87"/>
      <c r="B217" s="188" t="s">
        <v>286</v>
      </c>
      <c r="C217" s="181">
        <v>815</v>
      </c>
      <c r="D217" s="205"/>
      <c r="E217" s="205">
        <v>2808473</v>
      </c>
      <c r="F217" s="205">
        <v>34342</v>
      </c>
      <c r="G217" s="206"/>
      <c r="H217" s="87"/>
    </row>
    <row r="218" spans="1:8" s="101" customFormat="1" ht="15.75" hidden="1">
      <c r="A218" s="87"/>
      <c r="B218" s="188" t="s">
        <v>287</v>
      </c>
      <c r="C218" s="181">
        <v>816</v>
      </c>
      <c r="D218" s="205"/>
      <c r="E218" s="205"/>
      <c r="F218" s="205"/>
      <c r="G218" s="206"/>
      <c r="H218" s="87"/>
    </row>
    <row r="219" spans="1:8" s="101" customFormat="1" ht="15.75" hidden="1">
      <c r="A219" s="87"/>
      <c r="B219" s="188" t="s">
        <v>288</v>
      </c>
      <c r="C219" s="181">
        <v>821</v>
      </c>
      <c r="D219" s="205"/>
      <c r="E219" s="205">
        <v>461722.5</v>
      </c>
      <c r="F219" s="205">
        <v>165246.5</v>
      </c>
      <c r="G219" s="206"/>
      <c r="H219" s="87"/>
    </row>
    <row r="220" spans="1:8" s="101" customFormat="1" ht="15.75" hidden="1">
      <c r="A220" s="87"/>
      <c r="B220" s="188" t="s">
        <v>289</v>
      </c>
      <c r="C220" s="181">
        <v>822</v>
      </c>
      <c r="D220" s="205"/>
      <c r="E220" s="205"/>
      <c r="F220" s="205"/>
      <c r="G220" s="206"/>
      <c r="H220" s="87"/>
    </row>
    <row r="221" spans="1:8" s="101" customFormat="1" ht="15.75" hidden="1">
      <c r="A221" s="87"/>
      <c r="B221" s="188" t="s">
        <v>290</v>
      </c>
      <c r="C221" s="181">
        <v>823</v>
      </c>
      <c r="D221" s="205"/>
      <c r="E221" s="205">
        <v>238980</v>
      </c>
      <c r="F221" s="205">
        <v>72962</v>
      </c>
      <c r="G221" s="206"/>
      <c r="H221" s="87"/>
    </row>
    <row r="222" spans="1:8" s="101" customFormat="1" ht="15.75" hidden="1">
      <c r="A222" s="87"/>
      <c r="B222" s="188" t="s">
        <v>291</v>
      </c>
      <c r="C222" s="181">
        <v>827</v>
      </c>
      <c r="D222" s="205"/>
      <c r="E222" s="205">
        <v>48070.25</v>
      </c>
      <c r="F222" s="205"/>
      <c r="G222" s="206"/>
      <c r="H222" s="87"/>
    </row>
    <row r="223" spans="1:8" s="101" customFormat="1" ht="15.75" hidden="1">
      <c r="A223" s="87"/>
      <c r="B223" s="188" t="s">
        <v>292</v>
      </c>
      <c r="C223" s="181">
        <v>829</v>
      </c>
      <c r="D223" s="205"/>
      <c r="E223" s="205"/>
      <c r="F223" s="205"/>
      <c r="G223" s="206"/>
      <c r="H223" s="87"/>
    </row>
    <row r="224" spans="1:8" s="101" customFormat="1" ht="15.75" hidden="1">
      <c r="A224" s="87"/>
      <c r="B224" s="188" t="s">
        <v>293</v>
      </c>
      <c r="C224" s="181">
        <v>831</v>
      </c>
      <c r="D224" s="205"/>
      <c r="E224" s="205"/>
      <c r="F224" s="205"/>
      <c r="G224" s="206"/>
      <c r="H224" s="87"/>
    </row>
    <row r="225" spans="1:8" s="101" customFormat="1" ht="15.75" hidden="1">
      <c r="A225" s="87"/>
      <c r="B225" s="188" t="s">
        <v>294</v>
      </c>
      <c r="C225" s="181">
        <v>833</v>
      </c>
      <c r="D225" s="205"/>
      <c r="E225" s="205"/>
      <c r="F225" s="205"/>
      <c r="G225" s="206"/>
      <c r="H225" s="87"/>
    </row>
    <row r="226" spans="1:8" s="101" customFormat="1" ht="15.75" hidden="1">
      <c r="A226" s="87"/>
      <c r="B226" s="188" t="s">
        <v>295</v>
      </c>
      <c r="C226" s="181">
        <v>836</v>
      </c>
      <c r="D226" s="205"/>
      <c r="E226" s="205">
        <v>50000</v>
      </c>
      <c r="F226" s="205"/>
      <c r="G226" s="206"/>
      <c r="H226" s="87"/>
    </row>
    <row r="227" spans="1:8" s="101" customFormat="1" ht="15.75" hidden="1">
      <c r="A227" s="87"/>
      <c r="B227" s="188" t="s">
        <v>296</v>
      </c>
      <c r="C227" s="181">
        <v>840</v>
      </c>
      <c r="D227" s="205"/>
      <c r="E227" s="205">
        <v>712809</v>
      </c>
      <c r="F227" s="205">
        <v>139573.5</v>
      </c>
      <c r="G227" s="206"/>
      <c r="H227" s="87"/>
    </row>
    <row r="228" spans="1:8" s="101" customFormat="1" ht="15.75" hidden="1">
      <c r="A228" s="87"/>
      <c r="B228" s="188" t="s">
        <v>297</v>
      </c>
      <c r="C228" s="181">
        <v>841</v>
      </c>
      <c r="D228" s="205"/>
      <c r="E228" s="205">
        <v>17848561.02</v>
      </c>
      <c r="F228" s="205">
        <v>6873059</v>
      </c>
      <c r="G228" s="206"/>
      <c r="H228" s="87"/>
    </row>
    <row r="229" spans="1:8" s="101" customFormat="1" ht="15.75" hidden="1">
      <c r="A229" s="87"/>
      <c r="B229" s="188" t="s">
        <v>298</v>
      </c>
      <c r="C229" s="181">
        <v>844</v>
      </c>
      <c r="D229" s="205"/>
      <c r="E229" s="205">
        <v>531451.8</v>
      </c>
      <c r="F229" s="205"/>
      <c r="G229" s="206"/>
      <c r="H229" s="87"/>
    </row>
    <row r="230" spans="1:8" s="101" customFormat="1" ht="15.75" hidden="1">
      <c r="A230" s="87"/>
      <c r="B230" s="188" t="s">
        <v>299</v>
      </c>
      <c r="C230" s="181">
        <v>850</v>
      </c>
      <c r="D230" s="205"/>
      <c r="E230" s="205">
        <v>95490</v>
      </c>
      <c r="F230" s="205"/>
      <c r="G230" s="206"/>
      <c r="H230" s="87"/>
    </row>
    <row r="231" spans="1:8" s="101" customFormat="1" ht="15.75" hidden="1">
      <c r="A231" s="87"/>
      <c r="B231" s="188" t="s">
        <v>300</v>
      </c>
      <c r="C231" s="181">
        <v>851</v>
      </c>
      <c r="D231" s="205"/>
      <c r="E231" s="205"/>
      <c r="F231" s="205"/>
      <c r="G231" s="206"/>
      <c r="H231" s="87"/>
    </row>
    <row r="232" spans="1:8" s="101" customFormat="1" ht="15.75" hidden="1">
      <c r="A232" s="87"/>
      <c r="B232" s="188" t="s">
        <v>301</v>
      </c>
      <c r="C232" s="181">
        <v>854</v>
      </c>
      <c r="D232" s="205"/>
      <c r="E232" s="205">
        <v>179506</v>
      </c>
      <c r="F232" s="205">
        <v>21781</v>
      </c>
      <c r="G232" s="206"/>
      <c r="H232" s="87"/>
    </row>
    <row r="233" spans="1:8" s="101" customFormat="1" ht="15.75" hidden="1">
      <c r="A233" s="87"/>
      <c r="B233" s="188" t="s">
        <v>302</v>
      </c>
      <c r="C233" s="181">
        <v>855</v>
      </c>
      <c r="D233" s="205"/>
      <c r="E233" s="205"/>
      <c r="F233" s="205"/>
      <c r="G233" s="206"/>
      <c r="H233" s="87"/>
    </row>
    <row r="234" spans="1:8" s="101" customFormat="1" ht="15.75" hidden="1">
      <c r="A234" s="87"/>
      <c r="B234" s="188" t="s">
        <v>366</v>
      </c>
      <c r="C234" s="181">
        <v>856</v>
      </c>
      <c r="D234" s="205"/>
      <c r="E234" s="205"/>
      <c r="F234" s="205">
        <v>179575</v>
      </c>
      <c r="G234" s="206"/>
      <c r="H234" s="87"/>
    </row>
    <row r="235" spans="1:8" s="101" customFormat="1" ht="15.75" hidden="1">
      <c r="A235" s="87"/>
      <c r="B235" s="188" t="s">
        <v>303</v>
      </c>
      <c r="C235" s="181">
        <v>857</v>
      </c>
      <c r="D235" s="205"/>
      <c r="E235" s="205"/>
      <c r="F235" s="205"/>
      <c r="G235" s="206"/>
      <c r="H235" s="87"/>
    </row>
    <row r="236" spans="1:8" s="101" customFormat="1" ht="15.75" hidden="1">
      <c r="A236" s="87"/>
      <c r="B236" s="188" t="s">
        <v>304</v>
      </c>
      <c r="C236" s="181">
        <v>860</v>
      </c>
      <c r="D236" s="205"/>
      <c r="E236" s="205">
        <v>362064.2</v>
      </c>
      <c r="F236" s="205">
        <v>117232</v>
      </c>
      <c r="G236" s="206"/>
      <c r="H236" s="87"/>
    </row>
    <row r="237" spans="1:8" s="101" customFormat="1" ht="15.75" hidden="1">
      <c r="A237" s="87"/>
      <c r="B237" s="188" t="s">
        <v>305</v>
      </c>
      <c r="C237" s="181">
        <v>876</v>
      </c>
      <c r="D237" s="205"/>
      <c r="E237" s="205">
        <v>4200000</v>
      </c>
      <c r="F237" s="205"/>
      <c r="G237" s="206"/>
      <c r="H237" s="87"/>
    </row>
    <row r="238" spans="1:8" s="101" customFormat="1" ht="15.75" hidden="1">
      <c r="A238" s="87"/>
      <c r="B238" s="188" t="s">
        <v>367</v>
      </c>
      <c r="C238" s="181">
        <v>877</v>
      </c>
      <c r="D238" s="205"/>
      <c r="E238" s="205"/>
      <c r="F238" s="205">
        <v>32446110.85</v>
      </c>
      <c r="G238" s="206"/>
      <c r="H238" s="87"/>
    </row>
    <row r="239" spans="1:8" s="101" customFormat="1" ht="15.75" hidden="1">
      <c r="A239" s="87"/>
      <c r="B239" s="188" t="s">
        <v>306</v>
      </c>
      <c r="C239" s="181">
        <v>878</v>
      </c>
      <c r="D239" s="205"/>
      <c r="E239" s="205">
        <v>152905911.82</v>
      </c>
      <c r="F239" s="205">
        <v>79234284.92</v>
      </c>
      <c r="G239" s="206"/>
      <c r="H239" s="87"/>
    </row>
    <row r="240" spans="1:8" s="101" customFormat="1" ht="15.75" hidden="1">
      <c r="A240" s="87"/>
      <c r="B240" s="188" t="s">
        <v>307</v>
      </c>
      <c r="C240" s="181">
        <v>881</v>
      </c>
      <c r="D240" s="205"/>
      <c r="E240" s="205">
        <v>1440000</v>
      </c>
      <c r="F240" s="205">
        <v>780000</v>
      </c>
      <c r="G240" s="206"/>
      <c r="H240" s="87"/>
    </row>
    <row r="241" spans="1:8" s="101" customFormat="1" ht="15.75" hidden="1">
      <c r="A241" s="87"/>
      <c r="B241" s="188" t="s">
        <v>308</v>
      </c>
      <c r="C241" s="181">
        <v>882</v>
      </c>
      <c r="D241" s="205"/>
      <c r="E241" s="205"/>
      <c r="F241" s="205"/>
      <c r="G241" s="206"/>
      <c r="H241" s="87"/>
    </row>
    <row r="242" spans="1:8" s="101" customFormat="1" ht="15.75" hidden="1">
      <c r="A242" s="87"/>
      <c r="B242" s="188" t="s">
        <v>309</v>
      </c>
      <c r="C242" s="181">
        <v>891</v>
      </c>
      <c r="D242" s="205"/>
      <c r="E242" s="205">
        <v>65477.65</v>
      </c>
      <c r="F242" s="205">
        <v>35765.94</v>
      </c>
      <c r="G242" s="206"/>
      <c r="H242" s="87"/>
    </row>
    <row r="243" spans="1:8" s="101" customFormat="1" ht="15.75" hidden="1">
      <c r="A243" s="87"/>
      <c r="B243" s="188" t="s">
        <v>310</v>
      </c>
      <c r="C243" s="181">
        <v>892</v>
      </c>
      <c r="D243" s="205"/>
      <c r="E243" s="205">
        <v>306250</v>
      </c>
      <c r="F243" s="205">
        <v>470646</v>
      </c>
      <c r="G243" s="206"/>
      <c r="H243" s="87"/>
    </row>
    <row r="244" spans="1:8" s="101" customFormat="1" ht="15.75" hidden="1">
      <c r="A244" s="87"/>
      <c r="B244" s="188" t="s">
        <v>311</v>
      </c>
      <c r="C244" s="181">
        <v>893</v>
      </c>
      <c r="D244" s="205"/>
      <c r="E244" s="205">
        <v>2501999.66</v>
      </c>
      <c r="F244" s="205">
        <v>661732.07</v>
      </c>
      <c r="G244" s="206"/>
      <c r="H244" s="87"/>
    </row>
    <row r="245" spans="1:8" s="101" customFormat="1" ht="15.75" hidden="1">
      <c r="A245" s="87"/>
      <c r="B245" s="188" t="s">
        <v>312</v>
      </c>
      <c r="C245" s="181">
        <v>902</v>
      </c>
      <c r="D245" s="205"/>
      <c r="E245" s="205">
        <v>32047870.8</v>
      </c>
      <c r="F245" s="205">
        <v>15480896.77</v>
      </c>
      <c r="G245" s="206"/>
      <c r="H245" s="87"/>
    </row>
    <row r="246" spans="1:8" s="101" customFormat="1" ht="15.75" hidden="1">
      <c r="A246" s="87"/>
      <c r="B246" s="188" t="s">
        <v>313</v>
      </c>
      <c r="C246" s="181">
        <v>905</v>
      </c>
      <c r="D246" s="205"/>
      <c r="E246" s="205">
        <v>12546225.78</v>
      </c>
      <c r="F246" s="205">
        <v>6542850.68</v>
      </c>
      <c r="G246" s="206"/>
      <c r="H246" s="87"/>
    </row>
    <row r="247" spans="1:8" s="101" customFormat="1" ht="15.75" hidden="1">
      <c r="A247" s="87"/>
      <c r="B247" s="188" t="s">
        <v>314</v>
      </c>
      <c r="C247" s="181">
        <v>911</v>
      </c>
      <c r="D247" s="205"/>
      <c r="E247" s="205">
        <v>17443692.78</v>
      </c>
      <c r="F247" s="205">
        <v>8550966.39</v>
      </c>
      <c r="G247" s="206"/>
      <c r="H247" s="87"/>
    </row>
    <row r="248" spans="1:8" s="101" customFormat="1" ht="15.75" hidden="1">
      <c r="A248" s="87"/>
      <c r="B248" s="188" t="s">
        <v>315</v>
      </c>
      <c r="C248" s="181">
        <v>912</v>
      </c>
      <c r="D248" s="205"/>
      <c r="E248" s="205">
        <v>7011489.68</v>
      </c>
      <c r="F248" s="205">
        <v>3833462.41</v>
      </c>
      <c r="G248" s="206"/>
      <c r="H248" s="87"/>
    </row>
    <row r="249" spans="1:8" s="101" customFormat="1" ht="15.75" hidden="1">
      <c r="A249" s="87"/>
      <c r="B249" s="188" t="s">
        <v>316</v>
      </c>
      <c r="C249" s="181">
        <v>913</v>
      </c>
      <c r="D249" s="205"/>
      <c r="E249" s="205">
        <v>81942.48</v>
      </c>
      <c r="F249" s="205">
        <v>40971.24</v>
      </c>
      <c r="G249" s="206"/>
      <c r="H249" s="87"/>
    </row>
    <row r="250" spans="1:8" s="101" customFormat="1" ht="15.75" hidden="1">
      <c r="A250" s="87"/>
      <c r="B250" s="188" t="s">
        <v>317</v>
      </c>
      <c r="C250" s="181">
        <v>914</v>
      </c>
      <c r="D250" s="205"/>
      <c r="E250" s="205">
        <v>3792458.16</v>
      </c>
      <c r="F250" s="205">
        <v>1905229.06</v>
      </c>
      <c r="G250" s="206"/>
      <c r="H250" s="87"/>
    </row>
    <row r="251" spans="1:8" s="101" customFormat="1" ht="15.75" hidden="1">
      <c r="A251" s="87"/>
      <c r="B251" s="188" t="s">
        <v>318</v>
      </c>
      <c r="C251" s="181">
        <v>915</v>
      </c>
      <c r="D251" s="205"/>
      <c r="E251" s="205">
        <v>8957735.62</v>
      </c>
      <c r="F251" s="205">
        <v>4400236.25</v>
      </c>
      <c r="G251" s="206"/>
      <c r="H251" s="87"/>
    </row>
    <row r="252" spans="1:8" s="101" customFormat="1" ht="15.75" hidden="1">
      <c r="A252" s="87"/>
      <c r="B252" s="188" t="s">
        <v>319</v>
      </c>
      <c r="C252" s="181">
        <v>921</v>
      </c>
      <c r="D252" s="205"/>
      <c r="E252" s="205">
        <v>1090498.79</v>
      </c>
      <c r="F252" s="205">
        <v>537644.61</v>
      </c>
      <c r="G252" s="206"/>
      <c r="H252" s="87"/>
    </row>
    <row r="253" spans="1:8" s="101" customFormat="1" ht="15.75" hidden="1">
      <c r="A253" s="87"/>
      <c r="B253" s="188" t="s">
        <v>320</v>
      </c>
      <c r="C253" s="181">
        <v>922</v>
      </c>
      <c r="D253" s="205"/>
      <c r="E253" s="205">
        <v>403641.17</v>
      </c>
      <c r="F253" s="205">
        <v>258521.72</v>
      </c>
      <c r="G253" s="206"/>
      <c r="H253" s="87"/>
    </row>
    <row r="254" spans="1:8" s="101" customFormat="1" ht="15.75" hidden="1">
      <c r="A254" s="87"/>
      <c r="B254" s="188" t="s">
        <v>321</v>
      </c>
      <c r="C254" s="181">
        <v>923</v>
      </c>
      <c r="D254" s="205"/>
      <c r="E254" s="205">
        <v>6767231.54</v>
      </c>
      <c r="F254" s="205">
        <v>3603746.23</v>
      </c>
      <c r="G254" s="206"/>
      <c r="H254" s="87"/>
    </row>
    <row r="255" spans="1:8" s="101" customFormat="1" ht="15.75" hidden="1">
      <c r="A255" s="87"/>
      <c r="B255" s="188" t="s">
        <v>322</v>
      </c>
      <c r="C255" s="181">
        <v>924</v>
      </c>
      <c r="D255" s="205"/>
      <c r="E255" s="205">
        <v>1446424.08</v>
      </c>
      <c r="F255" s="205">
        <v>723212.04</v>
      </c>
      <c r="G255" s="206"/>
      <c r="H255" s="87"/>
    </row>
    <row r="256" spans="1:8" s="101" customFormat="1" ht="15.75" hidden="1">
      <c r="A256" s="87"/>
      <c r="B256" s="188" t="s">
        <v>368</v>
      </c>
      <c r="C256" s="181">
        <v>926</v>
      </c>
      <c r="D256" s="205"/>
      <c r="E256" s="205">
        <v>1154.85</v>
      </c>
      <c r="F256" s="205">
        <v>6929.1</v>
      </c>
      <c r="G256" s="206"/>
      <c r="H256" s="87"/>
    </row>
    <row r="257" spans="1:8" s="101" customFormat="1" ht="15.75" hidden="1">
      <c r="A257" s="87"/>
      <c r="B257" s="188" t="s">
        <v>323</v>
      </c>
      <c r="C257" s="181">
        <v>927</v>
      </c>
      <c r="D257" s="205"/>
      <c r="E257" s="205">
        <v>339732.73</v>
      </c>
      <c r="F257" s="205">
        <v>199339.5</v>
      </c>
      <c r="G257" s="206"/>
      <c r="H257" s="87"/>
    </row>
    <row r="258" spans="1:8" s="101" customFormat="1" ht="15.75" hidden="1">
      <c r="A258" s="87"/>
      <c r="B258" s="188" t="s">
        <v>324</v>
      </c>
      <c r="C258" s="181">
        <v>929</v>
      </c>
      <c r="D258" s="205"/>
      <c r="E258" s="205">
        <v>656342.73</v>
      </c>
      <c r="F258" s="205">
        <v>342946.5</v>
      </c>
      <c r="G258" s="206"/>
      <c r="H258" s="87"/>
    </row>
    <row r="259" spans="1:8" s="101" customFormat="1" ht="15.75" hidden="1">
      <c r="A259" s="87"/>
      <c r="B259" s="188" t="s">
        <v>325</v>
      </c>
      <c r="C259" s="181">
        <v>930</v>
      </c>
      <c r="D259" s="205"/>
      <c r="E259" s="205">
        <v>36846646.68</v>
      </c>
      <c r="F259" s="205">
        <v>16639253.31</v>
      </c>
      <c r="G259" s="206"/>
      <c r="H259" s="87"/>
    </row>
    <row r="260" spans="1:8" s="101" customFormat="1" ht="15.75" hidden="1">
      <c r="A260" s="87"/>
      <c r="B260" s="188" t="s">
        <v>369</v>
      </c>
      <c r="C260" s="181">
        <v>931</v>
      </c>
      <c r="D260" s="205"/>
      <c r="E260" s="205">
        <v>300000</v>
      </c>
      <c r="F260" s="205">
        <v>360000</v>
      </c>
      <c r="G260" s="206"/>
      <c r="H260" s="87"/>
    </row>
    <row r="261" spans="1:8" s="101" customFormat="1" ht="15.75" hidden="1">
      <c r="A261" s="87"/>
      <c r="B261" s="188" t="s">
        <v>326</v>
      </c>
      <c r="C261" s="181">
        <v>932</v>
      </c>
      <c r="D261" s="205"/>
      <c r="E261" s="205">
        <v>10064.28</v>
      </c>
      <c r="F261" s="205">
        <v>5032.14</v>
      </c>
      <c r="G261" s="206"/>
      <c r="H261" s="87"/>
    </row>
    <row r="262" spans="1:8" s="101" customFormat="1" ht="15.75" hidden="1">
      <c r="A262" s="87"/>
      <c r="B262" s="188" t="s">
        <v>327</v>
      </c>
      <c r="C262" s="181">
        <v>933</v>
      </c>
      <c r="D262" s="205"/>
      <c r="E262" s="205">
        <v>1417520.6</v>
      </c>
      <c r="F262" s="205">
        <v>724302.12</v>
      </c>
      <c r="G262" s="206"/>
      <c r="H262" s="87"/>
    </row>
    <row r="263" spans="1:8" s="101" customFormat="1" ht="15.75" hidden="1">
      <c r="A263" s="87"/>
      <c r="B263" s="188" t="s">
        <v>328</v>
      </c>
      <c r="C263" s="181">
        <v>934</v>
      </c>
      <c r="D263" s="205"/>
      <c r="E263" s="205">
        <v>81000</v>
      </c>
      <c r="F263" s="205">
        <v>40500</v>
      </c>
      <c r="G263" s="206"/>
      <c r="H263" s="87"/>
    </row>
    <row r="264" spans="1:8" s="101" customFormat="1" ht="15.75" hidden="1">
      <c r="A264" s="87"/>
      <c r="B264" s="188" t="s">
        <v>329</v>
      </c>
      <c r="C264" s="181">
        <v>936</v>
      </c>
      <c r="D264" s="205"/>
      <c r="E264" s="205">
        <v>2107366.02</v>
      </c>
      <c r="F264" s="205">
        <v>1059942.36</v>
      </c>
      <c r="G264" s="206"/>
      <c r="H264" s="87"/>
    </row>
    <row r="265" spans="1:8" s="101" customFormat="1" ht="15.75" hidden="1">
      <c r="A265" s="87"/>
      <c r="B265" s="188" t="s">
        <v>330</v>
      </c>
      <c r="C265" s="181">
        <v>940</v>
      </c>
      <c r="D265" s="205"/>
      <c r="E265" s="205">
        <v>4316194</v>
      </c>
      <c r="F265" s="205">
        <v>2246931.3</v>
      </c>
      <c r="G265" s="206"/>
      <c r="H265" s="87"/>
    </row>
    <row r="266" spans="1:8" s="101" customFormat="1" ht="15.75" hidden="1">
      <c r="A266" s="87"/>
      <c r="B266" s="188" t="s">
        <v>331</v>
      </c>
      <c r="C266" s="181">
        <v>941</v>
      </c>
      <c r="D266" s="205"/>
      <c r="E266" s="205">
        <v>9293655.87</v>
      </c>
      <c r="F266" s="205">
        <v>4921703.88</v>
      </c>
      <c r="G266" s="206"/>
      <c r="H266" s="87"/>
    </row>
    <row r="267" spans="1:8" s="101" customFormat="1" ht="15.75" hidden="1">
      <c r="A267" s="87"/>
      <c r="B267" s="188" t="s">
        <v>332</v>
      </c>
      <c r="C267" s="181">
        <v>944</v>
      </c>
      <c r="D267" s="205"/>
      <c r="E267" s="205">
        <v>864434.33</v>
      </c>
      <c r="F267" s="205">
        <v>449273.27</v>
      </c>
      <c r="G267" s="206"/>
      <c r="H267" s="87"/>
    </row>
    <row r="268" spans="1:8" s="101" customFormat="1" ht="15.75" hidden="1">
      <c r="A268" s="87"/>
      <c r="B268" s="188" t="s">
        <v>370</v>
      </c>
      <c r="C268" s="181">
        <v>948</v>
      </c>
      <c r="D268" s="210"/>
      <c r="E268" s="210">
        <v>445500.9</v>
      </c>
      <c r="F268" s="210">
        <v>445500.9</v>
      </c>
      <c r="G268" s="206"/>
      <c r="H268" s="87"/>
    </row>
    <row r="269" spans="1:8" s="101" customFormat="1" ht="15.75" hidden="1">
      <c r="A269" s="87"/>
      <c r="B269" s="188" t="s">
        <v>333</v>
      </c>
      <c r="C269" s="181">
        <v>969</v>
      </c>
      <c r="D269" s="211"/>
      <c r="E269" s="211">
        <v>125482743.1</v>
      </c>
      <c r="F269" s="211">
        <v>12621427.79</v>
      </c>
      <c r="G269" s="206"/>
      <c r="H269" s="87"/>
    </row>
    <row r="270" spans="1:8" s="101" customFormat="1" ht="15.75" hidden="1">
      <c r="A270" s="87"/>
      <c r="B270" s="212" t="s">
        <v>334</v>
      </c>
      <c r="C270" s="164"/>
      <c r="D270" s="213">
        <f>SUM(D178:D269)</f>
        <v>0</v>
      </c>
      <c r="E270" s="213">
        <f>SUM(E178:E269)</f>
        <v>921125102.6199996</v>
      </c>
      <c r="F270" s="213">
        <f>SUM(F178:F269)</f>
        <v>415009875.7800001</v>
      </c>
      <c r="G270" s="214">
        <f>SUM(G178:G269)</f>
        <v>0</v>
      </c>
      <c r="H270" s="87"/>
    </row>
    <row r="271" spans="1:8" s="101" customFormat="1" ht="15.75" hidden="1">
      <c r="A271" s="87"/>
      <c r="B271" s="212"/>
      <c r="C271" s="164"/>
      <c r="D271" s="215"/>
      <c r="E271" s="215"/>
      <c r="F271" s="215"/>
      <c r="G271" s="216"/>
      <c r="H271" s="87"/>
    </row>
    <row r="272" spans="1:8" s="101" customFormat="1" ht="15.75" hidden="1">
      <c r="A272" s="87"/>
      <c r="B272" s="212"/>
      <c r="C272" s="164"/>
      <c r="D272" s="215"/>
      <c r="E272" s="215"/>
      <c r="F272" s="215"/>
      <c r="G272" s="216"/>
      <c r="H272" s="87"/>
    </row>
    <row r="273" spans="1:8" s="101" customFormat="1" ht="15.75" hidden="1">
      <c r="A273" s="87"/>
      <c r="B273" s="212" t="s">
        <v>335</v>
      </c>
      <c r="C273" s="164"/>
      <c r="D273" s="215"/>
      <c r="E273" s="215"/>
      <c r="F273" s="215"/>
      <c r="G273" s="216"/>
      <c r="H273" s="87"/>
    </row>
    <row r="274" spans="1:8" s="101" customFormat="1" ht="15.75" hidden="1">
      <c r="A274" s="87"/>
      <c r="B274" s="188" t="s">
        <v>336</v>
      </c>
      <c r="C274" s="181">
        <v>971</v>
      </c>
      <c r="D274" s="205"/>
      <c r="E274" s="205">
        <v>52330.5</v>
      </c>
      <c r="F274" s="205">
        <v>14775</v>
      </c>
      <c r="G274" s="206"/>
      <c r="H274" s="87"/>
    </row>
    <row r="275" spans="1:8" s="101" customFormat="1" ht="15.75" hidden="1">
      <c r="A275" s="87"/>
      <c r="B275" s="188" t="s">
        <v>337</v>
      </c>
      <c r="C275" s="181">
        <v>974</v>
      </c>
      <c r="D275" s="205"/>
      <c r="E275" s="205">
        <v>40346</v>
      </c>
      <c r="F275" s="205"/>
      <c r="G275" s="206"/>
      <c r="H275" s="87"/>
    </row>
    <row r="276" spans="2:7" ht="15.75" hidden="1">
      <c r="B276" s="188" t="s">
        <v>338</v>
      </c>
      <c r="C276" s="181">
        <v>975</v>
      </c>
      <c r="D276" s="205"/>
      <c r="E276" s="205">
        <v>74825874.43</v>
      </c>
      <c r="F276" s="205">
        <v>37369397.26</v>
      </c>
      <c r="G276" s="206"/>
    </row>
    <row r="277" spans="2:7" ht="15.75" hidden="1">
      <c r="B277" s="188" t="s">
        <v>339</v>
      </c>
      <c r="C277" s="181">
        <v>979</v>
      </c>
      <c r="D277" s="211"/>
      <c r="E277" s="211"/>
      <c r="F277" s="211">
        <v>77248.12</v>
      </c>
      <c r="G277" s="217"/>
    </row>
    <row r="278" spans="2:7" ht="15.75" hidden="1">
      <c r="B278" s="218" t="s">
        <v>340</v>
      </c>
      <c r="C278" s="219"/>
      <c r="D278" s="213">
        <f>SUM(D274:D277)</f>
        <v>0</v>
      </c>
      <c r="E278" s="213">
        <f>SUM(E274:E277)</f>
        <v>74918550.93</v>
      </c>
      <c r="F278" s="213">
        <f>SUM(F274:F277)</f>
        <v>37461420.379999995</v>
      </c>
      <c r="G278" s="214">
        <f>SUM(G274:G277)</f>
        <v>0</v>
      </c>
    </row>
    <row r="279" spans="2:7" ht="15.75" hidden="1">
      <c r="B279" s="220"/>
      <c r="C279" s="171"/>
      <c r="D279" s="221"/>
      <c r="E279" s="221"/>
      <c r="F279" s="221"/>
      <c r="G279" s="222"/>
    </row>
    <row r="280" spans="2:7" ht="16.5" hidden="1" thickBot="1">
      <c r="B280" s="223" t="s">
        <v>341</v>
      </c>
      <c r="C280" s="224"/>
      <c r="D280" s="225">
        <f>D174+D270+D278</f>
        <v>0</v>
      </c>
      <c r="E280" s="225">
        <f>E174+E270+E278</f>
        <v>1361315042.2399998</v>
      </c>
      <c r="F280" s="225">
        <f>F174+F270+F278</f>
        <v>656792584.0400001</v>
      </c>
      <c r="G280" s="226">
        <f>G174+G270+G278</f>
        <v>0</v>
      </c>
    </row>
    <row r="281" spans="2:7" ht="15.75">
      <c r="B281" s="161"/>
      <c r="C281" s="227"/>
      <c r="D281" s="228"/>
      <c r="E281" s="228"/>
      <c r="F281" s="228"/>
      <c r="G281" s="228"/>
    </row>
    <row r="282" spans="2:7" ht="15.75">
      <c r="B282" s="157"/>
      <c r="C282" s="158"/>
      <c r="D282" s="229"/>
      <c r="E282" s="229"/>
      <c r="F282" s="230"/>
      <c r="G282" s="230"/>
    </row>
    <row r="283" spans="2:7" ht="15.75">
      <c r="B283" s="157"/>
      <c r="C283" s="158"/>
      <c r="D283" s="229"/>
      <c r="E283" s="229"/>
      <c r="F283" s="230"/>
      <c r="G283" s="230"/>
    </row>
    <row r="284" spans="2:7" ht="15.75">
      <c r="B284" s="157"/>
      <c r="C284" s="158"/>
      <c r="D284" s="229"/>
      <c r="E284" s="229"/>
      <c r="F284" s="230"/>
      <c r="G284" s="230"/>
    </row>
    <row r="285" spans="2:7" ht="15.75">
      <c r="B285" s="157" t="s">
        <v>135</v>
      </c>
      <c r="C285" s="158"/>
      <c r="D285" s="230"/>
      <c r="E285" s="230"/>
      <c r="F285" s="230"/>
      <c r="G285" s="230"/>
    </row>
    <row r="286" spans="2:7" ht="15.75">
      <c r="B286" s="157"/>
      <c r="C286" s="158"/>
      <c r="D286" s="230"/>
      <c r="E286" s="230"/>
      <c r="F286" s="230"/>
      <c r="G286" s="230"/>
    </row>
    <row r="287" spans="2:7" ht="15.75">
      <c r="B287" s="157"/>
      <c r="C287" s="158"/>
      <c r="D287" s="230"/>
      <c r="E287" s="230"/>
      <c r="F287" s="230"/>
      <c r="G287" s="230"/>
    </row>
    <row r="288" spans="2:7" ht="15.75">
      <c r="B288" s="231" t="s">
        <v>455</v>
      </c>
      <c r="C288" s="158"/>
      <c r="D288" s="229" t="s">
        <v>378</v>
      </c>
      <c r="E288" s="229"/>
      <c r="F288" s="230"/>
      <c r="G288" s="230"/>
    </row>
    <row r="289" spans="2:7" ht="15.75">
      <c r="B289" s="157" t="s">
        <v>136</v>
      </c>
      <c r="C289" s="158"/>
      <c r="D289" s="230" t="s">
        <v>154</v>
      </c>
      <c r="E289" s="230"/>
      <c r="F289" s="230"/>
      <c r="G289" s="230"/>
    </row>
    <row r="290" spans="2:7" ht="15.75">
      <c r="B290" s="157"/>
      <c r="C290" s="158"/>
      <c r="D290" s="230"/>
      <c r="E290" s="230"/>
      <c r="F290" s="230"/>
      <c r="G290" s="230"/>
    </row>
    <row r="291" spans="2:7" ht="15.75">
      <c r="B291" s="231" t="s">
        <v>379</v>
      </c>
      <c r="C291" s="232"/>
      <c r="D291" s="230"/>
      <c r="E291" s="230"/>
      <c r="F291" s="230"/>
      <c r="G291" s="230"/>
    </row>
    <row r="292" spans="2:7" ht="15.75">
      <c r="B292" s="157" t="s">
        <v>152</v>
      </c>
      <c r="C292" s="158"/>
      <c r="D292" s="230"/>
      <c r="E292" s="230"/>
      <c r="F292" s="230"/>
      <c r="G292" s="230"/>
    </row>
    <row r="293" spans="2:7" ht="15.75">
      <c r="B293" s="157"/>
      <c r="C293" s="158"/>
      <c r="D293" s="230"/>
      <c r="E293" s="230"/>
      <c r="F293" s="230"/>
      <c r="G293" s="157"/>
    </row>
    <row r="294" spans="2:7" ht="15.75">
      <c r="B294" s="157"/>
      <c r="C294" s="158"/>
      <c r="D294" s="230"/>
      <c r="E294" s="230"/>
      <c r="F294" s="230"/>
      <c r="G294" s="157"/>
    </row>
    <row r="295" spans="2:7" ht="15.75">
      <c r="B295" s="157"/>
      <c r="C295" s="158"/>
      <c r="D295" s="230"/>
      <c r="E295" s="230"/>
      <c r="F295" s="230"/>
      <c r="G295" s="157"/>
    </row>
    <row r="296" spans="2:7" ht="15.75">
      <c r="B296" s="157"/>
      <c r="C296" s="158"/>
      <c r="D296" s="230"/>
      <c r="E296" s="230"/>
      <c r="F296" s="230"/>
      <c r="G296" s="157"/>
    </row>
    <row r="297" spans="2:7" ht="15.75">
      <c r="B297" s="157"/>
      <c r="C297" s="158"/>
      <c r="D297" s="230"/>
      <c r="E297" s="230"/>
      <c r="F297" s="230"/>
      <c r="G297" s="157"/>
    </row>
    <row r="298" spans="2:7" ht="16.5">
      <c r="B298" s="57"/>
      <c r="C298" s="105"/>
      <c r="D298" s="81"/>
      <c r="E298" s="81"/>
      <c r="F298" s="80"/>
      <c r="G298" s="57"/>
    </row>
    <row r="299" spans="2:7" ht="16.5">
      <c r="B299" s="57"/>
      <c r="C299" s="105"/>
      <c r="D299" s="81"/>
      <c r="E299" s="81"/>
      <c r="F299" s="80"/>
      <c r="G299" s="57"/>
    </row>
    <row r="300" spans="2:7" ht="16.5">
      <c r="B300" s="57"/>
      <c r="C300" s="105"/>
      <c r="D300" s="81"/>
      <c r="E300" s="81"/>
      <c r="F300" s="80"/>
      <c r="G300" s="57"/>
    </row>
    <row r="301" spans="2:7" ht="16.5">
      <c r="B301" s="57"/>
      <c r="C301" s="105"/>
      <c r="D301" s="81"/>
      <c r="E301" s="81"/>
      <c r="F301" s="80"/>
      <c r="G301" s="57"/>
    </row>
    <row r="302" spans="2:7" ht="16.5">
      <c r="B302" s="57"/>
      <c r="C302" s="105"/>
      <c r="D302" s="81"/>
      <c r="E302" s="81"/>
      <c r="F302" s="80"/>
      <c r="G302" s="57"/>
    </row>
    <row r="303" spans="2:7" ht="16.5">
      <c r="B303" s="57"/>
      <c r="C303" s="105"/>
      <c r="D303" s="81"/>
      <c r="E303" s="81"/>
      <c r="F303" s="80"/>
      <c r="G303" s="57"/>
    </row>
    <row r="304" spans="2:7" ht="16.5">
      <c r="B304" s="57"/>
      <c r="C304" s="105"/>
      <c r="D304" s="81"/>
      <c r="E304" s="81"/>
      <c r="F304" s="80"/>
      <c r="G304" s="57"/>
    </row>
    <row r="305" spans="2:7" ht="16.5">
      <c r="B305" s="57"/>
      <c r="C305" s="105"/>
      <c r="D305" s="81"/>
      <c r="E305" s="81"/>
      <c r="F305" s="80"/>
      <c r="G305" s="57"/>
    </row>
    <row r="306" spans="2:7" ht="16.5">
      <c r="B306" s="57"/>
      <c r="C306" s="105"/>
      <c r="D306" s="81"/>
      <c r="E306" s="81"/>
      <c r="F306" s="80"/>
      <c r="G306" s="57"/>
    </row>
    <row r="307" spans="2:7" ht="16.5">
      <c r="B307" s="57"/>
      <c r="C307" s="105"/>
      <c r="D307" s="81"/>
      <c r="E307" s="81"/>
      <c r="F307" s="80"/>
      <c r="G307" s="57"/>
    </row>
    <row r="308" spans="2:7" ht="16.5">
      <c r="B308" s="57"/>
      <c r="C308" s="105"/>
      <c r="D308" s="81"/>
      <c r="E308" s="81"/>
      <c r="F308" s="80"/>
      <c r="G308" s="57"/>
    </row>
    <row r="309" spans="2:7" ht="16.5">
      <c r="B309" s="57"/>
      <c r="C309" s="105"/>
      <c r="D309" s="81"/>
      <c r="E309" s="81"/>
      <c r="F309" s="80"/>
      <c r="G309" s="57"/>
    </row>
    <row r="310" spans="2:7" ht="16.5">
      <c r="B310" s="57"/>
      <c r="C310" s="105"/>
      <c r="D310" s="81"/>
      <c r="E310" s="81"/>
      <c r="F310" s="80"/>
      <c r="G310" s="57"/>
    </row>
    <row r="311" spans="2:7" ht="16.5">
      <c r="B311" s="57"/>
      <c r="C311" s="105"/>
      <c r="D311" s="81"/>
      <c r="E311" s="81"/>
      <c r="F311" s="80"/>
      <c r="G311" s="57"/>
    </row>
    <row r="312" spans="2:7" ht="16.5">
      <c r="B312" s="57"/>
      <c r="C312" s="105"/>
      <c r="D312" s="81"/>
      <c r="E312" s="81"/>
      <c r="F312" s="80"/>
      <c r="G312" s="57"/>
    </row>
    <row r="313" spans="2:7" ht="16.5">
      <c r="B313" s="85"/>
      <c r="C313" s="118"/>
      <c r="D313" s="83"/>
      <c r="E313" s="83"/>
      <c r="F313" s="84"/>
      <c r="G313" s="85"/>
    </row>
    <row r="314" spans="2:7" ht="16.5">
      <c r="B314" s="57"/>
      <c r="C314" s="105"/>
      <c r="D314" s="81"/>
      <c r="E314" s="81"/>
      <c r="F314" s="80"/>
      <c r="G314" s="57"/>
    </row>
    <row r="315" spans="2:7" ht="16.5">
      <c r="B315" s="57"/>
      <c r="C315" s="105"/>
      <c r="D315" s="81"/>
      <c r="E315" s="81"/>
      <c r="F315" s="80"/>
      <c r="G315" s="57"/>
    </row>
    <row r="316" spans="2:7" ht="16.5">
      <c r="B316" s="57"/>
      <c r="C316" s="105"/>
      <c r="D316" s="81"/>
      <c r="E316" s="81"/>
      <c r="F316" s="80"/>
      <c r="G316" s="57"/>
    </row>
    <row r="317" spans="2:7" ht="16.5">
      <c r="B317" s="57"/>
      <c r="C317" s="105"/>
      <c r="D317" s="81"/>
      <c r="E317" s="81"/>
      <c r="F317" s="80"/>
      <c r="G317" s="57"/>
    </row>
    <row r="318" spans="2:7" ht="16.5">
      <c r="B318" s="57"/>
      <c r="C318" s="105"/>
      <c r="D318" s="81"/>
      <c r="E318" s="81"/>
      <c r="F318" s="80"/>
      <c r="G318" s="57"/>
    </row>
    <row r="319" spans="2:7" ht="16.5">
      <c r="B319" s="57"/>
      <c r="C319" s="105"/>
      <c r="D319" s="81"/>
      <c r="E319" s="81"/>
      <c r="F319" s="80"/>
      <c r="G319" s="57"/>
    </row>
    <row r="320" spans="2:7" ht="16.5">
      <c r="B320" s="57"/>
      <c r="C320" s="105"/>
      <c r="D320" s="81"/>
      <c r="E320" s="81"/>
      <c r="F320" s="86"/>
      <c r="G320" s="57"/>
    </row>
    <row r="321" spans="2:7" ht="16.5">
      <c r="B321" s="57"/>
      <c r="C321" s="105"/>
      <c r="D321" s="81"/>
      <c r="E321" s="81"/>
      <c r="F321" s="86"/>
      <c r="G321" s="57"/>
    </row>
    <row r="322" spans="2:7" ht="16.5">
      <c r="B322" s="57"/>
      <c r="C322" s="105"/>
      <c r="D322" s="81"/>
      <c r="E322" s="81"/>
      <c r="F322" s="86"/>
      <c r="G322" s="57"/>
    </row>
    <row r="323" spans="2:7" ht="16.5">
      <c r="B323" s="57"/>
      <c r="C323" s="105"/>
      <c r="D323" s="81"/>
      <c r="E323" s="81"/>
      <c r="F323" s="86"/>
      <c r="G323" s="57"/>
    </row>
    <row r="324" spans="2:7" ht="16.5">
      <c r="B324" s="57"/>
      <c r="C324" s="105"/>
      <c r="D324" s="81"/>
      <c r="E324" s="81"/>
      <c r="F324" s="86"/>
      <c r="G324" s="57"/>
    </row>
    <row r="325" spans="2:7" ht="16.5">
      <c r="B325" s="57"/>
      <c r="C325" s="105"/>
      <c r="D325" s="81"/>
      <c r="E325" s="81"/>
      <c r="F325" s="86"/>
      <c r="G325" s="57"/>
    </row>
    <row r="326" spans="2:7" ht="16.5">
      <c r="B326" s="57"/>
      <c r="C326" s="105"/>
      <c r="D326" s="81"/>
      <c r="E326" s="81"/>
      <c r="F326" s="86"/>
      <c r="G326" s="57"/>
    </row>
    <row r="327" spans="2:7" ht="16.5">
      <c r="B327" s="57"/>
      <c r="C327" s="105"/>
      <c r="D327" s="81"/>
      <c r="E327" s="81"/>
      <c r="F327" s="86"/>
      <c r="G327" s="57"/>
    </row>
    <row r="328" spans="2:7" ht="16.5">
      <c r="B328" s="57"/>
      <c r="C328" s="105"/>
      <c r="D328" s="81"/>
      <c r="E328" s="81"/>
      <c r="F328" s="86"/>
      <c r="G328" s="57"/>
    </row>
    <row r="329" spans="2:7" ht="16.5">
      <c r="B329" s="57"/>
      <c r="C329" s="105"/>
      <c r="D329" s="81"/>
      <c r="E329" s="81"/>
      <c r="F329" s="86"/>
      <c r="G329" s="57"/>
    </row>
    <row r="330" spans="2:7" ht="16.5">
      <c r="B330" s="57"/>
      <c r="C330" s="105"/>
      <c r="D330" s="81"/>
      <c r="E330" s="81"/>
      <c r="F330" s="86"/>
      <c r="G330" s="57"/>
    </row>
    <row r="331" spans="2:7" ht="16.5">
      <c r="B331" s="57"/>
      <c r="C331" s="105"/>
      <c r="D331" s="81"/>
      <c r="E331" s="81"/>
      <c r="F331" s="86"/>
      <c r="G331" s="57"/>
    </row>
    <row r="332" spans="2:7" ht="16.5">
      <c r="B332" s="57"/>
      <c r="C332" s="105"/>
      <c r="D332" s="81"/>
      <c r="E332" s="81"/>
      <c r="F332" s="86"/>
      <c r="G332" s="57"/>
    </row>
    <row r="333" spans="2:7" ht="16.5">
      <c r="B333" s="57"/>
      <c r="C333" s="105"/>
      <c r="D333" s="81"/>
      <c r="E333" s="81"/>
      <c r="F333" s="86"/>
      <c r="G333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3"/>
  <sheetViews>
    <sheetView zoomScale="120" zoomScaleNormal="120" zoomScalePageLayoutView="0" workbookViewId="0" topLeftCell="A1">
      <selection activeCell="D14" sqref="D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9" max="9" width="14.6640625" style="0" bestFit="1" customWidth="1"/>
    <col min="10" max="10" width="14.21484375" style="0" customWidth="1"/>
  </cols>
  <sheetData>
    <row r="1" spans="1:8" s="56" customFormat="1" ht="1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74" t="s">
        <v>196</v>
      </c>
      <c r="C2" s="474"/>
      <c r="D2" s="474"/>
      <c r="E2" s="474"/>
      <c r="F2" s="474"/>
      <c r="G2" s="474"/>
      <c r="H2" s="87"/>
    </row>
    <row r="3" spans="1:8" s="56" customFormat="1" ht="15">
      <c r="A3" s="87"/>
      <c r="B3" s="475" t="s">
        <v>197</v>
      </c>
      <c r="C3" s="475"/>
      <c r="D3" s="475"/>
      <c r="E3" s="475"/>
      <c r="F3" s="475"/>
      <c r="G3" s="475"/>
      <c r="H3" s="87"/>
    </row>
    <row r="4" spans="1:8" s="56" customFormat="1" ht="15">
      <c r="A4" s="87"/>
      <c r="B4" s="475" t="s">
        <v>198</v>
      </c>
      <c r="C4" s="475"/>
      <c r="D4" s="475"/>
      <c r="E4" s="475"/>
      <c r="F4" s="475"/>
      <c r="G4" s="475"/>
      <c r="H4" s="87"/>
    </row>
    <row r="5" spans="1:8" s="56" customFormat="1" ht="15">
      <c r="A5" s="87"/>
      <c r="B5" s="157"/>
      <c r="C5" s="158"/>
      <c r="D5" s="157"/>
      <c r="E5" s="157"/>
      <c r="F5" s="157"/>
      <c r="G5" s="157"/>
      <c r="H5" s="87"/>
    </row>
    <row r="6" spans="1:8" s="56" customFormat="1" ht="15.7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">
      <c r="A7" s="87"/>
      <c r="B7" s="339"/>
      <c r="C7" s="340"/>
      <c r="D7" s="341"/>
      <c r="E7" s="342" t="s">
        <v>18</v>
      </c>
      <c r="F7" s="488" t="s">
        <v>457</v>
      </c>
      <c r="G7" s="489"/>
      <c r="H7" s="87"/>
    </row>
    <row r="8" spans="1:8" s="56" customFormat="1" ht="15">
      <c r="A8" s="87"/>
      <c r="B8" s="343"/>
      <c r="C8" s="344" t="s">
        <v>16</v>
      </c>
      <c r="D8" s="345"/>
      <c r="E8" s="346" t="s">
        <v>19</v>
      </c>
      <c r="F8" s="347" t="s">
        <v>472</v>
      </c>
      <c r="G8" s="348" t="s">
        <v>25</v>
      </c>
      <c r="H8" s="87"/>
    </row>
    <row r="9" spans="1:8" s="56" customFormat="1" ht="15">
      <c r="A9" s="87"/>
      <c r="B9" s="349" t="s">
        <v>15</v>
      </c>
      <c r="C9" s="344" t="s">
        <v>17</v>
      </c>
      <c r="D9" s="345"/>
      <c r="E9" s="346" t="s">
        <v>155</v>
      </c>
      <c r="F9" s="344">
        <v>2014</v>
      </c>
      <c r="G9" s="350">
        <v>2014</v>
      </c>
      <c r="H9" s="87"/>
    </row>
    <row r="10" spans="1:8" s="56" customFormat="1" ht="15">
      <c r="A10" s="87"/>
      <c r="B10" s="351"/>
      <c r="C10" s="352"/>
      <c r="D10" s="353"/>
      <c r="E10" s="354">
        <v>2013</v>
      </c>
      <c r="F10" s="352" t="s">
        <v>458</v>
      </c>
      <c r="G10" s="355" t="s">
        <v>462</v>
      </c>
      <c r="H10" s="87"/>
    </row>
    <row r="11" spans="1:8" s="56" customFormat="1" ht="1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">
      <c r="A13" s="87"/>
      <c r="B13" s="186"/>
      <c r="C13" s="181"/>
      <c r="D13" s="182"/>
      <c r="E13" s="183"/>
      <c r="F13" s="184"/>
      <c r="G13" s="185"/>
      <c r="H13" s="87"/>
    </row>
    <row r="14" spans="2:7" ht="15">
      <c r="B14" s="186" t="s">
        <v>27</v>
      </c>
      <c r="C14" s="181">
        <v>127</v>
      </c>
      <c r="D14" s="182"/>
      <c r="E14" s="333">
        <v>59818662.04</v>
      </c>
      <c r="F14" s="184"/>
      <c r="G14" s="332">
        <v>100000000</v>
      </c>
    </row>
    <row r="15" spans="2:7" ht="15">
      <c r="B15" s="186" t="s">
        <v>28</v>
      </c>
      <c r="C15" s="181">
        <v>588</v>
      </c>
      <c r="D15" s="182"/>
      <c r="E15" s="333">
        <v>59328716.87</v>
      </c>
      <c r="F15" s="184"/>
      <c r="G15" s="332">
        <v>50000000</v>
      </c>
    </row>
    <row r="16" spans="2:7" ht="15">
      <c r="B16" s="186" t="s">
        <v>29</v>
      </c>
      <c r="C16" s="181">
        <v>954</v>
      </c>
      <c r="D16" s="182"/>
      <c r="E16" s="333">
        <v>-508713.55</v>
      </c>
      <c r="F16" s="184"/>
      <c r="G16" s="332">
        <v>-5000000</v>
      </c>
    </row>
    <row r="17" spans="2:7" ht="15">
      <c r="B17" s="186" t="s">
        <v>30</v>
      </c>
      <c r="C17" s="181">
        <v>599</v>
      </c>
      <c r="D17" s="182"/>
      <c r="E17" s="333">
        <v>4887711.69</v>
      </c>
      <c r="F17" s="184"/>
      <c r="G17" s="332">
        <v>5000000</v>
      </c>
    </row>
    <row r="18" spans="1:8" s="56" customFormat="1" ht="1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">
      <c r="A20" s="87"/>
      <c r="B20" s="186"/>
      <c r="C20" s="181"/>
      <c r="D20" s="182"/>
      <c r="E20" s="182"/>
      <c r="F20" s="184"/>
      <c r="G20" s="332"/>
      <c r="H20" s="87"/>
    </row>
    <row r="21" spans="2:7" ht="15">
      <c r="B21" s="186" t="s">
        <v>32</v>
      </c>
      <c r="C21" s="181">
        <v>564</v>
      </c>
      <c r="D21" s="182"/>
      <c r="E21" s="333">
        <v>177495</v>
      </c>
      <c r="F21" s="184"/>
      <c r="G21" s="334">
        <v>200000</v>
      </c>
    </row>
    <row r="22" spans="2:7" ht="15">
      <c r="B22" s="186" t="s">
        <v>33</v>
      </c>
      <c r="C22" s="181">
        <v>581</v>
      </c>
      <c r="D22" s="182"/>
      <c r="E22" s="333">
        <v>9179401.46</v>
      </c>
      <c r="F22" s="333"/>
      <c r="G22" s="332">
        <v>5000000</v>
      </c>
    </row>
    <row r="23" spans="2:7" ht="15">
      <c r="B23" s="186" t="s">
        <v>35</v>
      </c>
      <c r="C23" s="181">
        <v>582</v>
      </c>
      <c r="D23" s="182"/>
      <c r="E23" s="333">
        <v>108226999.58000001</v>
      </c>
      <c r="F23" s="333"/>
      <c r="G23" s="332">
        <v>90000000</v>
      </c>
    </row>
    <row r="24" spans="2:7" ht="15">
      <c r="B24" s="186" t="s">
        <v>0</v>
      </c>
      <c r="C24" s="181">
        <v>583</v>
      </c>
      <c r="D24" s="182"/>
      <c r="E24" s="333">
        <v>6042151.08</v>
      </c>
      <c r="F24" s="184"/>
      <c r="G24" s="332">
        <v>6000000</v>
      </c>
    </row>
    <row r="25" spans="2:7" ht="15">
      <c r="B25" s="186" t="s">
        <v>59</v>
      </c>
      <c r="C25" s="181">
        <v>584</v>
      </c>
      <c r="D25" s="182"/>
      <c r="E25" s="333">
        <v>1457930</v>
      </c>
      <c r="F25" s="184"/>
      <c r="G25" s="332">
        <v>2500000</v>
      </c>
    </row>
    <row r="26" spans="2:7" ht="15">
      <c r="B26" s="186" t="s">
        <v>60</v>
      </c>
      <c r="C26" s="181">
        <v>585</v>
      </c>
      <c r="D26" s="182"/>
      <c r="E26" s="333"/>
      <c r="F26" s="184"/>
      <c r="G26" s="332">
        <v>100000</v>
      </c>
    </row>
    <row r="27" spans="2:7" ht="15">
      <c r="B27" s="186" t="s">
        <v>61</v>
      </c>
      <c r="C27" s="181">
        <v>586</v>
      </c>
      <c r="D27" s="182"/>
      <c r="E27" s="333">
        <v>77227.94</v>
      </c>
      <c r="F27" s="184"/>
      <c r="G27" s="332">
        <v>100000</v>
      </c>
    </row>
    <row r="28" spans="2:7" ht="15">
      <c r="B28" s="186" t="s">
        <v>1</v>
      </c>
      <c r="C28" s="181">
        <v>587</v>
      </c>
      <c r="D28" s="182"/>
      <c r="E28" s="333">
        <v>5090503.4</v>
      </c>
      <c r="F28" s="184"/>
      <c r="G28" s="332">
        <v>10000000</v>
      </c>
    </row>
    <row r="29" spans="2:7" ht="15">
      <c r="B29" s="186" t="s">
        <v>2</v>
      </c>
      <c r="C29" s="181">
        <v>592</v>
      </c>
      <c r="D29" s="182"/>
      <c r="E29" s="333">
        <v>273110</v>
      </c>
      <c r="F29" s="184"/>
      <c r="G29" s="332">
        <v>350000</v>
      </c>
    </row>
    <row r="30" spans="2:7" ht="15">
      <c r="B30" s="186" t="s">
        <v>62</v>
      </c>
      <c r="C30" s="181">
        <v>593</v>
      </c>
      <c r="D30" s="182"/>
      <c r="E30" s="333">
        <v>3016181.29</v>
      </c>
      <c r="F30" s="184"/>
      <c r="G30" s="332">
        <v>4000000</v>
      </c>
    </row>
    <row r="31" spans="2:7" ht="15.75" hidden="1">
      <c r="B31" s="186" t="s">
        <v>180</v>
      </c>
      <c r="C31" s="181" t="s">
        <v>165</v>
      </c>
      <c r="D31" s="182"/>
      <c r="E31" s="333"/>
      <c r="F31" s="184"/>
      <c r="G31" s="332"/>
    </row>
    <row r="32" spans="2:7" ht="15">
      <c r="B32" s="186" t="s">
        <v>187</v>
      </c>
      <c r="C32" s="181">
        <v>599</v>
      </c>
      <c r="D32" s="182"/>
      <c r="E32" s="333">
        <v>15938.81</v>
      </c>
      <c r="F32" s="184"/>
      <c r="G32" s="332">
        <v>50000</v>
      </c>
    </row>
    <row r="33" spans="2:7" ht="15">
      <c r="B33" s="186" t="s">
        <v>188</v>
      </c>
      <c r="C33" s="181">
        <v>601</v>
      </c>
      <c r="D33" s="182"/>
      <c r="E33" s="333">
        <v>298595</v>
      </c>
      <c r="F33" s="184"/>
      <c r="G33" s="332">
        <v>300000</v>
      </c>
    </row>
    <row r="34" spans="2:7" ht="15">
      <c r="B34" s="186" t="s">
        <v>65</v>
      </c>
      <c r="C34" s="181">
        <v>605</v>
      </c>
      <c r="D34" s="182"/>
      <c r="E34" s="333">
        <v>23661633.630000003</v>
      </c>
      <c r="F34" s="333"/>
      <c r="G34" s="332">
        <v>17000000</v>
      </c>
    </row>
    <row r="35" spans="2:7" ht="15">
      <c r="B35" s="186" t="s">
        <v>4</v>
      </c>
      <c r="C35" s="181">
        <v>606</v>
      </c>
      <c r="D35" s="182"/>
      <c r="E35" s="333">
        <v>526640</v>
      </c>
      <c r="F35" s="184"/>
      <c r="G35" s="332">
        <v>700000</v>
      </c>
    </row>
    <row r="36" spans="2:7" ht="15">
      <c r="B36" s="186" t="s">
        <v>189</v>
      </c>
      <c r="C36" s="181">
        <v>609</v>
      </c>
      <c r="D36" s="182"/>
      <c r="E36" s="333">
        <v>4041893.11</v>
      </c>
      <c r="F36" s="184"/>
      <c r="G36" s="332">
        <v>1800000</v>
      </c>
    </row>
    <row r="37" spans="2:7" ht="15">
      <c r="B37" s="186" t="s">
        <v>74</v>
      </c>
      <c r="C37" s="181">
        <v>613</v>
      </c>
      <c r="D37" s="182"/>
      <c r="E37" s="333">
        <v>6521364.28</v>
      </c>
      <c r="F37" s="184"/>
      <c r="G37" s="332">
        <v>7000000</v>
      </c>
    </row>
    <row r="38" spans="2:7" ht="15">
      <c r="B38" s="186" t="s">
        <v>6</v>
      </c>
      <c r="C38" s="181">
        <v>616</v>
      </c>
      <c r="D38" s="182"/>
      <c r="E38" s="333">
        <v>5546000</v>
      </c>
      <c r="F38" s="184"/>
      <c r="G38" s="332">
        <v>6500000</v>
      </c>
    </row>
    <row r="39" spans="2:7" ht="15">
      <c r="B39" s="186" t="s">
        <v>7</v>
      </c>
      <c r="C39" s="181">
        <v>617</v>
      </c>
      <c r="D39" s="182"/>
      <c r="E39" s="333">
        <v>91882.4</v>
      </c>
      <c r="F39" s="184"/>
      <c r="G39" s="332">
        <v>200000</v>
      </c>
    </row>
    <row r="40" spans="2:7" ht="15">
      <c r="B40" s="186" t="s">
        <v>8</v>
      </c>
      <c r="C40" s="181">
        <v>619</v>
      </c>
      <c r="D40" s="182"/>
      <c r="E40" s="333">
        <v>2357264</v>
      </c>
      <c r="F40" s="333"/>
      <c r="G40" s="332">
        <v>2500000</v>
      </c>
    </row>
    <row r="41" spans="2:7" ht="15">
      <c r="B41" s="186" t="s">
        <v>9</v>
      </c>
      <c r="C41" s="181">
        <v>623</v>
      </c>
      <c r="D41" s="182"/>
      <c r="E41" s="333">
        <v>5375895.52</v>
      </c>
      <c r="F41" s="184"/>
      <c r="G41" s="332">
        <v>6500000</v>
      </c>
    </row>
    <row r="42" spans="2:7" ht="15">
      <c r="B42" s="186" t="s">
        <v>180</v>
      </c>
      <c r="C42" s="181">
        <v>628</v>
      </c>
      <c r="D42" s="182"/>
      <c r="E42" s="333">
        <v>1639050.17</v>
      </c>
      <c r="F42" s="184"/>
      <c r="G42" s="332">
        <v>3000000</v>
      </c>
    </row>
    <row r="43" spans="2:7" ht="15.75" hidden="1">
      <c r="B43" s="186" t="s">
        <v>201</v>
      </c>
      <c r="C43" s="181">
        <v>629</v>
      </c>
      <c r="D43" s="182"/>
      <c r="E43" s="333"/>
      <c r="F43" s="184"/>
      <c r="G43" s="332"/>
    </row>
    <row r="44" spans="2:7" ht="15">
      <c r="B44" s="186" t="s">
        <v>75</v>
      </c>
      <c r="C44" s="181">
        <v>636</v>
      </c>
      <c r="D44" s="182"/>
      <c r="E44" s="333">
        <v>6333200.82</v>
      </c>
      <c r="F44" s="333"/>
      <c r="G44" s="332">
        <v>7000000</v>
      </c>
    </row>
    <row r="45" spans="2:7" ht="15">
      <c r="B45" s="186" t="s">
        <v>78</v>
      </c>
      <c r="C45" s="181">
        <v>637</v>
      </c>
      <c r="D45" s="182"/>
      <c r="E45" s="333">
        <v>3006578.46</v>
      </c>
      <c r="F45" s="333"/>
      <c r="G45" s="332"/>
    </row>
    <row r="46" spans="2:7" ht="15">
      <c r="B46" s="190" t="s">
        <v>134</v>
      </c>
      <c r="C46" s="181">
        <v>638</v>
      </c>
      <c r="D46" s="182"/>
      <c r="E46" s="333">
        <v>2406661.14</v>
      </c>
      <c r="F46" s="184"/>
      <c r="G46" s="332"/>
    </row>
    <row r="47" spans="2:7" ht="15">
      <c r="B47" s="190" t="s">
        <v>10</v>
      </c>
      <c r="C47" s="181">
        <v>642</v>
      </c>
      <c r="D47" s="182"/>
      <c r="E47" s="333"/>
      <c r="F47" s="184"/>
      <c r="G47" s="332"/>
    </row>
    <row r="48" spans="2:7" ht="15">
      <c r="B48" s="190" t="s">
        <v>428</v>
      </c>
      <c r="C48" s="181" t="s">
        <v>131</v>
      </c>
      <c r="D48" s="182"/>
      <c r="E48" s="333">
        <v>1622223.67</v>
      </c>
      <c r="F48" s="184"/>
      <c r="G48" s="332">
        <v>600000</v>
      </c>
    </row>
    <row r="49" spans="2:7" ht="15">
      <c r="B49" s="190" t="s">
        <v>85</v>
      </c>
      <c r="C49" s="181" t="s">
        <v>132</v>
      </c>
      <c r="D49" s="182"/>
      <c r="E49" s="333">
        <v>4167493</v>
      </c>
      <c r="F49" s="184"/>
      <c r="G49" s="332">
        <v>5000000</v>
      </c>
    </row>
    <row r="50" spans="2:7" ht="15.75" hidden="1">
      <c r="B50" s="190" t="s">
        <v>429</v>
      </c>
      <c r="C50" s="181" t="s">
        <v>133</v>
      </c>
      <c r="D50" s="182"/>
      <c r="E50" s="333"/>
      <c r="F50" s="184"/>
      <c r="G50" s="332"/>
    </row>
    <row r="51" spans="2:7" ht="15">
      <c r="B51" s="190" t="s">
        <v>430</v>
      </c>
      <c r="C51" s="181" t="s">
        <v>133</v>
      </c>
      <c r="D51" s="182"/>
      <c r="E51" s="333">
        <v>332886.83</v>
      </c>
      <c r="F51" s="184"/>
      <c r="G51" s="332">
        <v>300000</v>
      </c>
    </row>
    <row r="52" spans="2:7" ht="15">
      <c r="B52" s="190" t="s">
        <v>431</v>
      </c>
      <c r="C52" s="181" t="s">
        <v>179</v>
      </c>
      <c r="D52" s="182"/>
      <c r="E52" s="333">
        <v>100526.21</v>
      </c>
      <c r="F52" s="184"/>
      <c r="G52" s="332">
        <v>50000</v>
      </c>
    </row>
    <row r="53" spans="2:7" ht="15">
      <c r="B53" s="190" t="s">
        <v>432</v>
      </c>
      <c r="C53" s="181" t="s">
        <v>194</v>
      </c>
      <c r="D53" s="182"/>
      <c r="E53" s="333">
        <v>5542391.68</v>
      </c>
      <c r="F53" s="184"/>
      <c r="G53" s="332"/>
    </row>
    <row r="54" spans="2:7" ht="15">
      <c r="B54" s="190" t="s">
        <v>433</v>
      </c>
      <c r="C54" s="181" t="s">
        <v>376</v>
      </c>
      <c r="D54" s="182"/>
      <c r="E54" s="333"/>
      <c r="F54" s="184"/>
      <c r="G54" s="332"/>
    </row>
    <row r="55" spans="2:7" ht="15">
      <c r="B55" s="190" t="s">
        <v>163</v>
      </c>
      <c r="C55" s="181">
        <v>648</v>
      </c>
      <c r="D55" s="182"/>
      <c r="E55" s="333"/>
      <c r="F55" s="184"/>
      <c r="G55" s="332"/>
    </row>
    <row r="56" spans="2:7" ht="15">
      <c r="B56" s="190" t="s">
        <v>434</v>
      </c>
      <c r="C56" s="181" t="s">
        <v>191</v>
      </c>
      <c r="D56" s="182"/>
      <c r="E56" s="333">
        <v>2040501.2</v>
      </c>
      <c r="F56" s="184"/>
      <c r="G56" s="332">
        <v>1500000</v>
      </c>
    </row>
    <row r="57" spans="2:7" ht="15.75" hidden="1">
      <c r="B57" s="190" t="s">
        <v>435</v>
      </c>
      <c r="C57" s="181" t="s">
        <v>167</v>
      </c>
      <c r="D57" s="182"/>
      <c r="E57" s="333"/>
      <c r="F57" s="184"/>
      <c r="G57" s="332"/>
    </row>
    <row r="58" spans="2:7" ht="15">
      <c r="B58" s="190" t="s">
        <v>436</v>
      </c>
      <c r="C58" s="181" t="s">
        <v>184</v>
      </c>
      <c r="D58" s="182"/>
      <c r="E58" s="333">
        <v>50591826.98</v>
      </c>
      <c r="F58" s="184"/>
      <c r="G58" s="332"/>
    </row>
    <row r="59" spans="2:7" ht="15">
      <c r="B59" s="190" t="s">
        <v>437</v>
      </c>
      <c r="C59" s="181" t="s">
        <v>169</v>
      </c>
      <c r="D59" s="182"/>
      <c r="E59" s="333">
        <v>14844389</v>
      </c>
      <c r="F59" s="184"/>
      <c r="G59" s="332">
        <v>10000000</v>
      </c>
    </row>
    <row r="60" spans="2:7" ht="15">
      <c r="B60" s="190" t="s">
        <v>438</v>
      </c>
      <c r="C60" s="181" t="s">
        <v>182</v>
      </c>
      <c r="D60" s="182"/>
      <c r="E60" s="333">
        <v>1491308.78</v>
      </c>
      <c r="F60" s="184"/>
      <c r="G60" s="332">
        <v>2500000</v>
      </c>
    </row>
    <row r="61" spans="2:7" ht="15">
      <c r="B61" s="190" t="s">
        <v>439</v>
      </c>
      <c r="C61" s="181" t="s">
        <v>192</v>
      </c>
      <c r="D61" s="182"/>
      <c r="E61" s="333">
        <v>757383.87</v>
      </c>
      <c r="F61" s="184"/>
      <c r="G61" s="332">
        <v>500000</v>
      </c>
    </row>
    <row r="62" spans="2:7" ht="15">
      <c r="B62" s="190" t="s">
        <v>440</v>
      </c>
      <c r="C62" s="181" t="s">
        <v>170</v>
      </c>
      <c r="D62" s="182"/>
      <c r="E62" s="333"/>
      <c r="F62" s="184"/>
      <c r="G62" s="332">
        <v>50000</v>
      </c>
    </row>
    <row r="63" spans="2:7" ht="15">
      <c r="B63" s="190" t="s">
        <v>441</v>
      </c>
      <c r="C63" s="181" t="s">
        <v>171</v>
      </c>
      <c r="D63" s="182"/>
      <c r="E63" s="333">
        <v>894346.29</v>
      </c>
      <c r="F63" s="184"/>
      <c r="G63" s="332"/>
    </row>
    <row r="64" spans="2:7" ht="15">
      <c r="B64" s="190" t="s">
        <v>195</v>
      </c>
      <c r="C64" s="181">
        <v>649</v>
      </c>
      <c r="D64" s="182"/>
      <c r="E64" s="333">
        <v>2654815</v>
      </c>
      <c r="F64" s="184"/>
      <c r="G64" s="332">
        <v>2000000</v>
      </c>
    </row>
    <row r="65" spans="1:8" s="101" customFormat="1" ht="15.75" hidden="1">
      <c r="A65" s="87"/>
      <c r="B65" s="190" t="s">
        <v>11</v>
      </c>
      <c r="C65" s="181">
        <v>662</v>
      </c>
      <c r="D65" s="182"/>
      <c r="E65" s="333"/>
      <c r="F65" s="184"/>
      <c r="G65" s="332"/>
      <c r="H65" s="87"/>
    </row>
    <row r="66" spans="1:8" s="101" customFormat="1" ht="15">
      <c r="A66" s="87"/>
      <c r="B66" s="190" t="s">
        <v>12</v>
      </c>
      <c r="C66" s="181">
        <v>664</v>
      </c>
      <c r="D66" s="182"/>
      <c r="E66" s="333">
        <v>393533.83</v>
      </c>
      <c r="F66" s="184"/>
      <c r="G66" s="332">
        <v>250000</v>
      </c>
      <c r="H66" s="87"/>
    </row>
    <row r="67" spans="1:8" s="101" customFormat="1" ht="15">
      <c r="A67" s="87"/>
      <c r="B67" s="190" t="s">
        <v>13</v>
      </c>
      <c r="C67" s="181">
        <v>665</v>
      </c>
      <c r="D67" s="182"/>
      <c r="E67" s="333">
        <v>1378601436</v>
      </c>
      <c r="F67" s="184"/>
      <c r="G67" s="332">
        <v>1547961109</v>
      </c>
      <c r="H67" s="87"/>
    </row>
    <row r="68" spans="1:8" s="101" customFormat="1" ht="15">
      <c r="A68" s="87"/>
      <c r="B68" s="190" t="s">
        <v>14</v>
      </c>
      <c r="C68" s="181">
        <v>670</v>
      </c>
      <c r="D68" s="182"/>
      <c r="E68" s="333">
        <v>705687.91</v>
      </c>
      <c r="F68" s="184"/>
      <c r="G68" s="332"/>
      <c r="H68" s="87"/>
    </row>
    <row r="69" spans="1:8" s="101" customFormat="1" ht="15">
      <c r="A69" s="87"/>
      <c r="B69" s="190" t="s">
        <v>216</v>
      </c>
      <c r="C69" s="181">
        <v>672</v>
      </c>
      <c r="D69" s="182"/>
      <c r="E69" s="333"/>
      <c r="F69" s="184"/>
      <c r="G69" s="332"/>
      <c r="H69" s="87"/>
    </row>
    <row r="70" spans="1:8" s="101" customFormat="1" ht="15">
      <c r="A70" s="87"/>
      <c r="B70" s="190" t="s">
        <v>164</v>
      </c>
      <c r="C70" s="181">
        <v>678</v>
      </c>
      <c r="D70" s="182"/>
      <c r="E70" s="333"/>
      <c r="F70" s="184"/>
      <c r="G70" s="332"/>
      <c r="H70" s="87"/>
    </row>
    <row r="71" spans="1:8" s="101" customFormat="1" ht="15">
      <c r="A71" s="87"/>
      <c r="B71" s="190" t="s">
        <v>354</v>
      </c>
      <c r="C71" s="181" t="s">
        <v>355</v>
      </c>
      <c r="D71" s="182"/>
      <c r="E71" s="333">
        <v>61794.15</v>
      </c>
      <c r="F71" s="184"/>
      <c r="G71" s="332"/>
      <c r="H71" s="87"/>
    </row>
    <row r="72" spans="1:8" s="101" customFormat="1" ht="15.75" hidden="1">
      <c r="A72" s="87"/>
      <c r="B72" s="190" t="s">
        <v>359</v>
      </c>
      <c r="C72" s="181" t="s">
        <v>356</v>
      </c>
      <c r="D72" s="182"/>
      <c r="E72" s="333"/>
      <c r="F72" s="184"/>
      <c r="G72" s="332"/>
      <c r="H72" s="87"/>
    </row>
    <row r="73" spans="1:8" s="101" customFormat="1" ht="15">
      <c r="A73" s="87"/>
      <c r="B73" s="190" t="s">
        <v>360</v>
      </c>
      <c r="C73" s="181" t="s">
        <v>357</v>
      </c>
      <c r="D73" s="182"/>
      <c r="E73" s="333">
        <v>87796.66</v>
      </c>
      <c r="F73" s="184"/>
      <c r="G73" s="332"/>
      <c r="H73" s="87"/>
    </row>
    <row r="74" spans="1:8" s="101" customFormat="1" ht="15.75" hidden="1">
      <c r="A74" s="87"/>
      <c r="B74" s="190" t="s">
        <v>361</v>
      </c>
      <c r="C74" s="181" t="s">
        <v>358</v>
      </c>
      <c r="D74" s="182"/>
      <c r="E74" s="184"/>
      <c r="F74" s="184"/>
      <c r="G74" s="332"/>
      <c r="H74" s="87"/>
    </row>
    <row r="75" spans="1:8" s="101" customFormat="1" ht="15.75" hidden="1">
      <c r="A75" s="87"/>
      <c r="B75" s="190" t="s">
        <v>186</v>
      </c>
      <c r="C75" s="181"/>
      <c r="D75" s="182"/>
      <c r="E75" s="182"/>
      <c r="F75" s="184"/>
      <c r="G75" s="335"/>
      <c r="H75" s="87"/>
    </row>
    <row r="76" spans="1:8" s="101" customFormat="1" ht="15.75" thickBot="1">
      <c r="A76" s="87"/>
      <c r="B76" s="192" t="s">
        <v>217</v>
      </c>
      <c r="C76" s="181"/>
      <c r="D76" s="182"/>
      <c r="E76" s="193">
        <f>SUM(E14:E75)</f>
        <v>1783780315.2000003</v>
      </c>
      <c r="F76" s="193">
        <f>SUM(F14:F75)</f>
        <v>0</v>
      </c>
      <c r="G76" s="193">
        <f>SUM(G14:G75)</f>
        <v>1891511109</v>
      </c>
      <c r="H76" s="87"/>
    </row>
    <row r="77" spans="1:8" s="101" customFormat="1" ht="15.75" thickTop="1">
      <c r="A77" s="87"/>
      <c r="B77" s="190"/>
      <c r="C77" s="181"/>
      <c r="D77" s="182"/>
      <c r="E77" s="194"/>
      <c r="F77" s="195"/>
      <c r="G77" s="196"/>
      <c r="H77" s="87"/>
    </row>
    <row r="78" spans="1:8" s="101" customFormat="1" ht="15">
      <c r="A78" s="87"/>
      <c r="B78" s="190"/>
      <c r="C78" s="181"/>
      <c r="D78" s="182"/>
      <c r="E78" s="197"/>
      <c r="F78" s="184"/>
      <c r="G78" s="189"/>
      <c r="H78" s="87"/>
    </row>
    <row r="79" spans="1:8" s="101" customFormat="1" ht="15">
      <c r="A79" s="87"/>
      <c r="B79" s="198" t="s">
        <v>218</v>
      </c>
      <c r="C79" s="181"/>
      <c r="D79" s="199"/>
      <c r="E79" s="199"/>
      <c r="F79" s="199"/>
      <c r="G79" s="200"/>
      <c r="H79" s="87"/>
    </row>
    <row r="80" spans="1:8" s="101" customFormat="1" ht="15">
      <c r="A80" s="87"/>
      <c r="B80" s="201" t="s">
        <v>219</v>
      </c>
      <c r="C80" s="181"/>
      <c r="D80" s="199"/>
      <c r="E80" s="199"/>
      <c r="F80" s="199"/>
      <c r="G80" s="200"/>
      <c r="H80" s="87"/>
    </row>
    <row r="81" spans="1:8" s="101" customFormat="1" ht="15">
      <c r="A81" s="87"/>
      <c r="B81" s="201" t="s">
        <v>220</v>
      </c>
      <c r="C81" s="181"/>
      <c r="D81" s="202"/>
      <c r="E81" s="202"/>
      <c r="F81" s="202"/>
      <c r="G81" s="203"/>
      <c r="H81" s="87"/>
    </row>
    <row r="82" spans="1:8" s="101" customFormat="1" ht="15">
      <c r="A82" s="87"/>
      <c r="B82" s="204" t="s">
        <v>475</v>
      </c>
      <c r="C82" s="181">
        <v>701</v>
      </c>
      <c r="D82" s="205"/>
      <c r="E82" s="205">
        <v>219778112.51</v>
      </c>
      <c r="F82" s="369">
        <v>217312493.88</v>
      </c>
      <c r="G82" s="206">
        <v>263825856</v>
      </c>
      <c r="H82" s="87"/>
    </row>
    <row r="83" spans="1:8" s="101" customFormat="1" ht="15.75" hidden="1">
      <c r="A83" s="87"/>
      <c r="B83" s="204" t="s">
        <v>222</v>
      </c>
      <c r="C83" s="181">
        <v>703</v>
      </c>
      <c r="D83" s="205"/>
      <c r="E83" s="205"/>
      <c r="F83" s="205"/>
      <c r="G83" s="206"/>
      <c r="H83" s="87"/>
    </row>
    <row r="84" spans="1:8" s="101" customFormat="1" ht="15.75" hidden="1">
      <c r="A84" s="87"/>
      <c r="B84" s="204" t="s">
        <v>223</v>
      </c>
      <c r="C84" s="181">
        <v>705</v>
      </c>
      <c r="D84" s="205"/>
      <c r="E84" s="205"/>
      <c r="F84" s="207"/>
      <c r="G84" s="206"/>
      <c r="H84" s="87"/>
    </row>
    <row r="85" spans="1:8" s="101" customFormat="1" ht="15.75" hidden="1">
      <c r="A85" s="87"/>
      <c r="B85" s="204" t="s">
        <v>224</v>
      </c>
      <c r="C85" s="181">
        <v>706</v>
      </c>
      <c r="D85" s="205"/>
      <c r="E85" s="205"/>
      <c r="F85" s="205"/>
      <c r="G85" s="206"/>
      <c r="H85" s="87"/>
    </row>
    <row r="86" spans="1:8" s="101" customFormat="1" ht="15">
      <c r="A86" s="87"/>
      <c r="B86" s="204" t="s">
        <v>476</v>
      </c>
      <c r="C86" s="181">
        <v>711</v>
      </c>
      <c r="D86" s="205"/>
      <c r="E86" s="205">
        <v>20804411.550000004</v>
      </c>
      <c r="F86" s="369">
        <v>20522082.03</v>
      </c>
      <c r="G86" s="206">
        <v>25224000</v>
      </c>
      <c r="H86" s="87"/>
    </row>
    <row r="87" spans="1:8" s="101" customFormat="1" ht="15">
      <c r="A87" s="87"/>
      <c r="B87" s="204" t="s">
        <v>226</v>
      </c>
      <c r="C87" s="181">
        <v>713</v>
      </c>
      <c r="D87" s="205"/>
      <c r="E87" s="205">
        <v>4530750</v>
      </c>
      <c r="F87" s="369">
        <v>4543447.61</v>
      </c>
      <c r="G87" s="206">
        <v>5058000</v>
      </c>
      <c r="H87" s="87"/>
    </row>
    <row r="88" spans="1:8" s="101" customFormat="1" ht="15">
      <c r="A88" s="87"/>
      <c r="B88" s="204" t="s">
        <v>227</v>
      </c>
      <c r="C88" s="181">
        <v>714</v>
      </c>
      <c r="D88" s="205"/>
      <c r="E88" s="205">
        <v>1125800</v>
      </c>
      <c r="F88" s="369">
        <v>1441056.88</v>
      </c>
      <c r="G88" s="206">
        <v>3630000</v>
      </c>
      <c r="H88" s="87"/>
    </row>
    <row r="89" spans="1:8" s="101" customFormat="1" ht="15">
      <c r="A89" s="87"/>
      <c r="B89" s="204" t="s">
        <v>228</v>
      </c>
      <c r="C89" s="181">
        <v>715</v>
      </c>
      <c r="D89" s="205"/>
      <c r="E89" s="205">
        <v>4420000</v>
      </c>
      <c r="F89" s="369">
        <v>4315000</v>
      </c>
      <c r="G89" s="206">
        <v>5285000</v>
      </c>
      <c r="H89" s="87"/>
    </row>
    <row r="90" spans="1:8" s="101" customFormat="1" ht="15">
      <c r="A90" s="87"/>
      <c r="B90" s="204" t="s">
        <v>229</v>
      </c>
      <c r="C90" s="181">
        <v>716</v>
      </c>
      <c r="D90" s="205"/>
      <c r="E90" s="205">
        <v>1533660.92</v>
      </c>
      <c r="F90" s="369">
        <v>187925</v>
      </c>
      <c r="G90" s="206"/>
      <c r="H90" s="87"/>
    </row>
    <row r="91" spans="1:8" s="101" customFormat="1" ht="15">
      <c r="A91" s="87"/>
      <c r="B91" s="204" t="s">
        <v>230</v>
      </c>
      <c r="C91" s="181">
        <v>717</v>
      </c>
      <c r="D91" s="205"/>
      <c r="E91" s="205">
        <v>4035000</v>
      </c>
      <c r="F91" s="369">
        <v>1582000</v>
      </c>
      <c r="G91" s="206">
        <v>5285000</v>
      </c>
      <c r="H91" s="87"/>
    </row>
    <row r="92" spans="1:8" s="101" customFormat="1" ht="15.75" hidden="1">
      <c r="A92" s="87"/>
      <c r="B92" s="204" t="s">
        <v>231</v>
      </c>
      <c r="C92" s="181">
        <v>719</v>
      </c>
      <c r="D92" s="205"/>
      <c r="E92" s="205"/>
      <c r="F92" s="205"/>
      <c r="G92" s="206"/>
      <c r="H92" s="87"/>
    </row>
    <row r="93" spans="1:8" s="101" customFormat="1" ht="15">
      <c r="A93" s="87"/>
      <c r="B93" s="204" t="s">
        <v>474</v>
      </c>
      <c r="C93" s="181" t="s">
        <v>473</v>
      </c>
      <c r="D93" s="205"/>
      <c r="E93" s="205">
        <v>13425000</v>
      </c>
      <c r="F93" s="369">
        <v>12972000</v>
      </c>
      <c r="G93" s="206"/>
      <c r="H93" s="87"/>
    </row>
    <row r="94" spans="1:8" s="101" customFormat="1" ht="15">
      <c r="A94" s="87"/>
      <c r="B94" s="204" t="s">
        <v>232</v>
      </c>
      <c r="C94" s="181">
        <v>720</v>
      </c>
      <c r="D94" s="205"/>
      <c r="E94" s="205">
        <v>248400</v>
      </c>
      <c r="F94" s="369">
        <v>497000</v>
      </c>
      <c r="G94" s="206">
        <v>504000</v>
      </c>
      <c r="H94" s="87"/>
    </row>
    <row r="95" spans="1:8" s="101" customFormat="1" ht="15">
      <c r="A95" s="87"/>
      <c r="B95" s="204" t="s">
        <v>233</v>
      </c>
      <c r="C95" s="181">
        <v>721</v>
      </c>
      <c r="D95" s="205"/>
      <c r="E95" s="205">
        <v>6262650.67</v>
      </c>
      <c r="F95" s="369">
        <v>544280.6499999999</v>
      </c>
      <c r="G95" s="206">
        <v>751666.08</v>
      </c>
      <c r="H95" s="87"/>
    </row>
    <row r="96" spans="1:8" s="101" customFormat="1" ht="15">
      <c r="A96" s="87"/>
      <c r="B96" s="204" t="s">
        <v>459</v>
      </c>
      <c r="C96" s="181">
        <v>722</v>
      </c>
      <c r="D96" s="205"/>
      <c r="E96" s="205"/>
      <c r="F96" s="369">
        <v>1312105.5</v>
      </c>
      <c r="G96" s="206"/>
      <c r="H96" s="87"/>
    </row>
    <row r="97" spans="1:8" s="101" customFormat="1" ht="15.75" hidden="1">
      <c r="A97" s="87"/>
      <c r="B97" s="204" t="s">
        <v>234</v>
      </c>
      <c r="C97" s="181">
        <v>723</v>
      </c>
      <c r="D97" s="205"/>
      <c r="E97" s="205"/>
      <c r="F97" s="205"/>
      <c r="G97" s="206"/>
      <c r="H97" s="87"/>
    </row>
    <row r="98" spans="1:8" s="101" customFormat="1" ht="15">
      <c r="A98" s="87"/>
      <c r="B98" s="204" t="s">
        <v>477</v>
      </c>
      <c r="C98" s="181">
        <v>723</v>
      </c>
      <c r="D98" s="205"/>
      <c r="E98" s="205"/>
      <c r="F98" s="369">
        <v>248505.94</v>
      </c>
      <c r="G98" s="206"/>
      <c r="H98" s="87"/>
    </row>
    <row r="99" spans="1:8" s="101" customFormat="1" ht="15">
      <c r="A99" s="87"/>
      <c r="B99" s="204" t="s">
        <v>235</v>
      </c>
      <c r="C99" s="181">
        <v>724</v>
      </c>
      <c r="D99" s="205"/>
      <c r="E99" s="205">
        <v>4494375</v>
      </c>
      <c r="F99" s="369">
        <v>4334125</v>
      </c>
      <c r="G99" s="206">
        <v>5285000</v>
      </c>
      <c r="H99" s="87"/>
    </row>
    <row r="100" spans="1:8" s="101" customFormat="1" ht="15">
      <c r="A100" s="87"/>
      <c r="B100" s="204" t="s">
        <v>236</v>
      </c>
      <c r="C100" s="181">
        <v>725</v>
      </c>
      <c r="D100" s="205"/>
      <c r="E100" s="205">
        <v>19046715.48</v>
      </c>
      <c r="F100" s="369">
        <v>18288948.799999997</v>
      </c>
      <c r="G100" s="206">
        <v>21985674</v>
      </c>
      <c r="H100" s="87"/>
    </row>
    <row r="101" spans="1:8" s="101" customFormat="1" ht="15">
      <c r="A101" s="87"/>
      <c r="B101" s="204" t="s">
        <v>237</v>
      </c>
      <c r="C101" s="181">
        <v>731</v>
      </c>
      <c r="D101" s="205"/>
      <c r="E101" s="205">
        <v>26274112.250000004</v>
      </c>
      <c r="F101" s="369">
        <v>26123075.24</v>
      </c>
      <c r="G101" s="206">
        <v>31659102.92</v>
      </c>
      <c r="H101" s="87"/>
    </row>
    <row r="102" spans="1:8" s="101" customFormat="1" ht="15">
      <c r="A102" s="87"/>
      <c r="B102" s="204" t="s">
        <v>238</v>
      </c>
      <c r="C102" s="181">
        <v>732</v>
      </c>
      <c r="D102" s="205"/>
      <c r="E102" s="205">
        <v>4380800.76</v>
      </c>
      <c r="F102" s="369">
        <v>4351357.17</v>
      </c>
      <c r="G102" s="206">
        <v>5276517.12</v>
      </c>
      <c r="H102" s="87"/>
    </row>
    <row r="103" spans="1:8" s="101" customFormat="1" ht="15">
      <c r="A103" s="87"/>
      <c r="B103" s="204" t="s">
        <v>239</v>
      </c>
      <c r="C103" s="181">
        <v>733</v>
      </c>
      <c r="D103" s="205"/>
      <c r="E103" s="205">
        <v>2468573</v>
      </c>
      <c r="F103" s="369">
        <v>2446362.5</v>
      </c>
      <c r="G103" s="206">
        <v>2968500</v>
      </c>
      <c r="H103" s="87"/>
    </row>
    <row r="104" spans="1:8" s="101" customFormat="1" ht="15">
      <c r="A104" s="87"/>
      <c r="B104" s="204" t="s">
        <v>240</v>
      </c>
      <c r="C104" s="181">
        <v>734</v>
      </c>
      <c r="D104" s="205"/>
      <c r="E104" s="205">
        <v>1049075.59</v>
      </c>
      <c r="F104" s="369">
        <v>1037418.0499999999</v>
      </c>
      <c r="G104" s="206">
        <v>1262400</v>
      </c>
      <c r="H104" s="87"/>
    </row>
    <row r="105" spans="1:8" s="101" customFormat="1" ht="15">
      <c r="A105" s="87"/>
      <c r="B105" s="204" t="s">
        <v>241</v>
      </c>
      <c r="C105" s="181">
        <v>742</v>
      </c>
      <c r="D105" s="205"/>
      <c r="E105" s="205"/>
      <c r="F105" s="205"/>
      <c r="G105" s="206">
        <v>26277477.81</v>
      </c>
      <c r="H105" s="87"/>
    </row>
    <row r="106" spans="1:8" s="101" customFormat="1" ht="15">
      <c r="A106" s="87"/>
      <c r="B106" s="204" t="s">
        <v>242</v>
      </c>
      <c r="C106" s="181">
        <v>743</v>
      </c>
      <c r="D106" s="205"/>
      <c r="E106" s="205"/>
      <c r="F106" s="369">
        <v>7286882.860000001</v>
      </c>
      <c r="G106" s="206">
        <v>8335479.56</v>
      </c>
      <c r="H106" s="87"/>
    </row>
    <row r="107" spans="1:8" s="101" customFormat="1" ht="15">
      <c r="A107" s="87"/>
      <c r="B107" s="204" t="s">
        <v>243</v>
      </c>
      <c r="C107" s="181">
        <v>749</v>
      </c>
      <c r="D107" s="205"/>
      <c r="E107" s="205">
        <v>7967517.43</v>
      </c>
      <c r="F107" s="369">
        <v>9109464.95</v>
      </c>
      <c r="G107" s="206">
        <v>234000</v>
      </c>
      <c r="H107" s="87"/>
    </row>
    <row r="108" spans="1:8" s="101" customFormat="1" ht="15">
      <c r="A108" s="87"/>
      <c r="B108" s="204" t="s">
        <v>244</v>
      </c>
      <c r="C108" s="181" t="s">
        <v>245</v>
      </c>
      <c r="D108" s="205"/>
      <c r="E108" s="205">
        <v>780000</v>
      </c>
      <c r="F108" s="369">
        <v>450000</v>
      </c>
      <c r="G108" s="206">
        <v>460000</v>
      </c>
      <c r="H108" s="87"/>
    </row>
    <row r="109" spans="1:8" s="101" customFormat="1" ht="15">
      <c r="A109" s="87"/>
      <c r="B109" s="204" t="s">
        <v>363</v>
      </c>
      <c r="C109" s="181" t="s">
        <v>364</v>
      </c>
      <c r="D109" s="205"/>
      <c r="E109" s="211">
        <v>2367000</v>
      </c>
      <c r="F109" s="211"/>
      <c r="G109" s="338">
        <v>1415697.48</v>
      </c>
      <c r="H109" s="87"/>
    </row>
    <row r="110" spans="1:9" s="101" customFormat="1" ht="15">
      <c r="A110" s="87"/>
      <c r="B110" s="201" t="s">
        <v>246</v>
      </c>
      <c r="C110" s="181"/>
      <c r="D110" s="208">
        <f>SUM(D82:D109)</f>
        <v>0</v>
      </c>
      <c r="E110" s="336">
        <f>SUM(E82:E109)</f>
        <v>344991955.16</v>
      </c>
      <c r="F110" s="336">
        <f>SUM(F82:F109)</f>
        <v>338905532.06000006</v>
      </c>
      <c r="G110" s="337">
        <f>SUM(G82:G109)</f>
        <v>414723370.97</v>
      </c>
      <c r="H110" s="87"/>
      <c r="I110" s="371">
        <v>338905532.06000006</v>
      </c>
    </row>
    <row r="111" spans="1:8" s="101" customFormat="1" ht="15">
      <c r="A111" s="87"/>
      <c r="B111" s="201"/>
      <c r="C111" s="181"/>
      <c r="D111" s="205"/>
      <c r="E111" s="205"/>
      <c r="F111" s="205"/>
      <c r="G111" s="206"/>
      <c r="H111" s="87"/>
    </row>
    <row r="112" spans="1:8" s="101" customFormat="1" ht="15">
      <c r="A112" s="87"/>
      <c r="B112" s="201"/>
      <c r="C112" s="181"/>
      <c r="D112" s="205"/>
      <c r="E112" s="205"/>
      <c r="F112" s="205"/>
      <c r="G112" s="206"/>
      <c r="H112" s="87"/>
    </row>
    <row r="113" spans="1:8" s="101" customFormat="1" ht="15">
      <c r="A113" s="87"/>
      <c r="B113" s="201" t="s">
        <v>247</v>
      </c>
      <c r="C113" s="181"/>
      <c r="D113" s="205"/>
      <c r="E113" s="205"/>
      <c r="F113" s="205"/>
      <c r="G113" s="206"/>
      <c r="H113" s="87"/>
    </row>
    <row r="114" spans="1:8" s="101" customFormat="1" ht="15">
      <c r="A114" s="87"/>
      <c r="B114" s="204" t="s">
        <v>248</v>
      </c>
      <c r="C114" s="181">
        <v>751</v>
      </c>
      <c r="D114" s="205"/>
      <c r="E114" s="205">
        <v>6229560.959999999</v>
      </c>
      <c r="F114" s="369">
        <v>7108118.580000001</v>
      </c>
      <c r="G114" s="206">
        <v>9336207.7</v>
      </c>
      <c r="H114" s="87"/>
    </row>
    <row r="115" spans="1:8" s="101" customFormat="1" ht="15">
      <c r="A115" s="87"/>
      <c r="B115" s="204" t="s">
        <v>249</v>
      </c>
      <c r="C115" s="181">
        <v>752</v>
      </c>
      <c r="D115" s="205"/>
      <c r="E115" s="205"/>
      <c r="F115" s="369">
        <v>42940</v>
      </c>
      <c r="G115" s="206">
        <v>200000</v>
      </c>
      <c r="H115" s="87"/>
    </row>
    <row r="116" spans="1:8" s="101" customFormat="1" ht="15">
      <c r="A116" s="87"/>
      <c r="B116" s="204" t="s">
        <v>250</v>
      </c>
      <c r="C116" s="181">
        <v>753</v>
      </c>
      <c r="D116" s="205"/>
      <c r="E116" s="205">
        <v>2314055.8</v>
      </c>
      <c r="F116" s="369">
        <v>1845740.95</v>
      </c>
      <c r="G116" s="206">
        <v>2412000</v>
      </c>
      <c r="H116" s="87"/>
    </row>
    <row r="117" spans="1:8" s="101" customFormat="1" ht="15">
      <c r="A117" s="87"/>
      <c r="B117" s="204" t="s">
        <v>251</v>
      </c>
      <c r="C117" s="181">
        <v>755</v>
      </c>
      <c r="D117" s="205"/>
      <c r="E117" s="205">
        <v>6811184.989999999</v>
      </c>
      <c r="F117" s="369">
        <v>6501782.170000001</v>
      </c>
      <c r="G117" s="206">
        <v>7799650</v>
      </c>
      <c r="H117" s="87"/>
    </row>
    <row r="118" spans="1:8" s="101" customFormat="1" ht="15">
      <c r="A118" s="87"/>
      <c r="B118" s="204" t="s">
        <v>252</v>
      </c>
      <c r="C118" s="181">
        <v>756</v>
      </c>
      <c r="D118" s="205"/>
      <c r="E118" s="205">
        <v>968506.5</v>
      </c>
      <c r="F118" s="369">
        <v>1137261.5</v>
      </c>
      <c r="G118" s="206">
        <v>1285000</v>
      </c>
      <c r="H118" s="87"/>
    </row>
    <row r="119" spans="1:8" s="101" customFormat="1" ht="15">
      <c r="A119" s="87"/>
      <c r="B119" s="204" t="s">
        <v>253</v>
      </c>
      <c r="C119" s="181">
        <v>757</v>
      </c>
      <c r="D119" s="205"/>
      <c r="E119" s="205">
        <v>497510</v>
      </c>
      <c r="F119" s="369">
        <v>89492.2</v>
      </c>
      <c r="G119" s="206">
        <v>100000</v>
      </c>
      <c r="H119" s="87"/>
    </row>
    <row r="120" spans="1:8" s="101" customFormat="1" ht="15">
      <c r="A120" s="87"/>
      <c r="B120" s="204" t="s">
        <v>254</v>
      </c>
      <c r="C120" s="181">
        <v>758</v>
      </c>
      <c r="D120" s="205"/>
      <c r="E120" s="205">
        <v>123840</v>
      </c>
      <c r="F120" s="369">
        <v>112965</v>
      </c>
      <c r="G120" s="206">
        <v>127500</v>
      </c>
      <c r="H120" s="87"/>
    </row>
    <row r="121" spans="1:8" s="101" customFormat="1" ht="15">
      <c r="A121" s="87"/>
      <c r="B121" s="204" t="s">
        <v>255</v>
      </c>
      <c r="C121" s="181">
        <v>759</v>
      </c>
      <c r="D121" s="205"/>
      <c r="E121" s="205">
        <v>10916405</v>
      </c>
      <c r="F121" s="369">
        <v>13488628.5</v>
      </c>
      <c r="G121" s="206">
        <v>15000000</v>
      </c>
      <c r="H121" s="87"/>
    </row>
    <row r="122" spans="1:8" s="101" customFormat="1" ht="15">
      <c r="A122" s="87"/>
      <c r="B122" s="204" t="s">
        <v>256</v>
      </c>
      <c r="C122" s="181">
        <v>760</v>
      </c>
      <c r="D122" s="205"/>
      <c r="E122" s="205">
        <v>2959189.45</v>
      </c>
      <c r="F122" s="369">
        <v>3063365.35</v>
      </c>
      <c r="G122" s="206">
        <v>4000000</v>
      </c>
      <c r="H122" s="87"/>
    </row>
    <row r="123" spans="1:8" s="101" customFormat="1" ht="15">
      <c r="A123" s="87"/>
      <c r="B123" s="204" t="s">
        <v>257</v>
      </c>
      <c r="C123" s="181">
        <v>761</v>
      </c>
      <c r="D123" s="205"/>
      <c r="E123" s="205">
        <v>43935637.02999999</v>
      </c>
      <c r="F123" s="369">
        <v>43768886.89999999</v>
      </c>
      <c r="G123" s="206">
        <v>45915769.2</v>
      </c>
      <c r="H123" s="87"/>
    </row>
    <row r="124" spans="1:8" s="101" customFormat="1" ht="15.75" hidden="1">
      <c r="A124" s="87"/>
      <c r="B124" s="204" t="s">
        <v>258</v>
      </c>
      <c r="C124" s="181">
        <v>762</v>
      </c>
      <c r="D124" s="205"/>
      <c r="E124" s="205"/>
      <c r="F124" s="205"/>
      <c r="G124" s="206"/>
      <c r="H124" s="87"/>
    </row>
    <row r="125" spans="1:8" s="101" customFormat="1" ht="15">
      <c r="A125" s="87"/>
      <c r="B125" s="204" t="s">
        <v>260</v>
      </c>
      <c r="C125" s="181">
        <v>765</v>
      </c>
      <c r="D125" s="205"/>
      <c r="E125" s="205">
        <v>3390021.3</v>
      </c>
      <c r="F125" s="369">
        <v>2952429.24</v>
      </c>
      <c r="G125" s="206">
        <v>3668150</v>
      </c>
      <c r="H125" s="87"/>
    </row>
    <row r="126" spans="1:8" s="101" customFormat="1" ht="15">
      <c r="A126" s="87"/>
      <c r="B126" s="204" t="s">
        <v>261</v>
      </c>
      <c r="C126" s="181">
        <v>766</v>
      </c>
      <c r="D126" s="205"/>
      <c r="E126" s="205">
        <v>4273308.08</v>
      </c>
      <c r="F126" s="205">
        <v>5000000</v>
      </c>
      <c r="G126" s="206">
        <v>5000000</v>
      </c>
      <c r="H126" s="87"/>
    </row>
    <row r="127" spans="1:8" s="101" customFormat="1" ht="15">
      <c r="A127" s="87"/>
      <c r="B127" s="204" t="s">
        <v>262</v>
      </c>
      <c r="C127" s="181">
        <v>767</v>
      </c>
      <c r="D127" s="205"/>
      <c r="E127" s="205">
        <v>48408104.02</v>
      </c>
      <c r="F127" s="369">
        <v>49891932.559999995</v>
      </c>
      <c r="G127" s="206">
        <v>50000000</v>
      </c>
      <c r="H127" s="87"/>
    </row>
    <row r="128" spans="1:8" s="101" customFormat="1" ht="15.75" hidden="1">
      <c r="A128" s="87"/>
      <c r="B128" s="204" t="s">
        <v>460</v>
      </c>
      <c r="C128" s="181">
        <v>768</v>
      </c>
      <c r="D128" s="205"/>
      <c r="E128" s="205"/>
      <c r="F128" s="205"/>
      <c r="G128" s="206"/>
      <c r="H128" s="87"/>
    </row>
    <row r="129" spans="1:8" s="101" customFormat="1" ht="15">
      <c r="A129" s="87"/>
      <c r="B129" s="204" t="s">
        <v>263</v>
      </c>
      <c r="C129" s="181">
        <v>771</v>
      </c>
      <c r="D129" s="205"/>
      <c r="E129" s="205">
        <v>17800</v>
      </c>
      <c r="F129" s="369">
        <v>34690</v>
      </c>
      <c r="G129" s="206">
        <v>70000</v>
      </c>
      <c r="H129" s="87"/>
    </row>
    <row r="130" spans="1:8" s="101" customFormat="1" ht="15">
      <c r="A130" s="87"/>
      <c r="B130" s="204" t="s">
        <v>264</v>
      </c>
      <c r="C130" s="181">
        <v>772</v>
      </c>
      <c r="D130" s="205"/>
      <c r="E130" s="205">
        <v>1040980.86</v>
      </c>
      <c r="F130" s="369">
        <v>742893.9700000001</v>
      </c>
      <c r="G130" s="206">
        <v>962400</v>
      </c>
      <c r="H130" s="87"/>
    </row>
    <row r="131" spans="1:8" s="101" customFormat="1" ht="15">
      <c r="A131" s="87"/>
      <c r="B131" s="204" t="s">
        <v>265</v>
      </c>
      <c r="C131" s="181">
        <v>773</v>
      </c>
      <c r="D131" s="205"/>
      <c r="E131" s="205">
        <v>1061275.94</v>
      </c>
      <c r="F131" s="369">
        <v>1052596.96</v>
      </c>
      <c r="G131" s="206">
        <v>1230000</v>
      </c>
      <c r="H131" s="87"/>
    </row>
    <row r="132" spans="1:8" s="101" customFormat="1" ht="15">
      <c r="A132" s="87"/>
      <c r="B132" s="204" t="s">
        <v>266</v>
      </c>
      <c r="C132" s="181">
        <v>774</v>
      </c>
      <c r="D132" s="205"/>
      <c r="E132" s="205">
        <v>194801.94000000003</v>
      </c>
      <c r="F132" s="369">
        <v>421866.32000000007</v>
      </c>
      <c r="G132" s="206">
        <v>610000</v>
      </c>
      <c r="H132" s="87"/>
    </row>
    <row r="133" spans="1:8" s="101" customFormat="1" ht="15.75" hidden="1">
      <c r="A133" s="87"/>
      <c r="B133" s="204" t="s">
        <v>267</v>
      </c>
      <c r="C133" s="181">
        <v>775</v>
      </c>
      <c r="D133" s="205"/>
      <c r="E133" s="205"/>
      <c r="F133" s="205"/>
      <c r="G133" s="206"/>
      <c r="H133" s="87"/>
    </row>
    <row r="134" spans="1:8" s="101" customFormat="1" ht="15.75" hidden="1">
      <c r="A134" s="87"/>
      <c r="B134" s="204" t="s">
        <v>268</v>
      </c>
      <c r="C134" s="181">
        <v>778</v>
      </c>
      <c r="D134" s="205"/>
      <c r="E134" s="205"/>
      <c r="F134" s="205"/>
      <c r="G134" s="206"/>
      <c r="H134" s="87"/>
    </row>
    <row r="135" spans="1:8" s="101" customFormat="1" ht="15">
      <c r="A135" s="87"/>
      <c r="B135" s="204" t="s">
        <v>478</v>
      </c>
      <c r="C135" s="181">
        <v>778</v>
      </c>
      <c r="D135" s="205"/>
      <c r="E135" s="205"/>
      <c r="F135" s="205">
        <v>1000</v>
      </c>
      <c r="G135" s="206"/>
      <c r="H135" s="87"/>
    </row>
    <row r="136" spans="1:8" s="101" customFormat="1" ht="15">
      <c r="A136" s="87"/>
      <c r="B136" s="204" t="s">
        <v>269</v>
      </c>
      <c r="C136" s="181">
        <v>780</v>
      </c>
      <c r="D136" s="205"/>
      <c r="E136" s="205">
        <v>3122231.15</v>
      </c>
      <c r="F136" s="369">
        <v>2927115.4</v>
      </c>
      <c r="G136" s="206">
        <v>3530000</v>
      </c>
      <c r="H136" s="87"/>
    </row>
    <row r="137" spans="1:8" s="101" customFormat="1" ht="15">
      <c r="A137" s="87"/>
      <c r="B137" s="204" t="s">
        <v>270</v>
      </c>
      <c r="C137" s="181">
        <v>781</v>
      </c>
      <c r="D137" s="205"/>
      <c r="E137" s="205">
        <v>305110</v>
      </c>
      <c r="F137" s="369">
        <v>439163</v>
      </c>
      <c r="G137" s="206">
        <v>310000</v>
      </c>
      <c r="H137" s="87"/>
    </row>
    <row r="138" spans="1:8" s="101" customFormat="1" ht="15">
      <c r="A138" s="87"/>
      <c r="B138" s="204" t="s">
        <v>271</v>
      </c>
      <c r="C138" s="181">
        <v>782</v>
      </c>
      <c r="D138" s="205"/>
      <c r="E138" s="205">
        <v>1460766.68</v>
      </c>
      <c r="F138" s="369">
        <v>1208009.24</v>
      </c>
      <c r="G138" s="206">
        <v>1475000</v>
      </c>
      <c r="H138" s="87"/>
    </row>
    <row r="139" spans="1:8" s="101" customFormat="1" ht="15">
      <c r="A139" s="87"/>
      <c r="B139" s="204" t="s">
        <v>272</v>
      </c>
      <c r="C139" s="181">
        <v>783</v>
      </c>
      <c r="D139" s="205"/>
      <c r="E139" s="205">
        <v>5628962.33</v>
      </c>
      <c r="F139" s="369">
        <v>4362086.92</v>
      </c>
      <c r="G139" s="206">
        <v>5121307.7</v>
      </c>
      <c r="H139" s="87"/>
    </row>
    <row r="140" spans="1:8" s="101" customFormat="1" ht="15">
      <c r="A140" s="87"/>
      <c r="B140" s="204" t="s">
        <v>273</v>
      </c>
      <c r="C140" s="181">
        <v>784</v>
      </c>
      <c r="D140" s="205"/>
      <c r="E140" s="205">
        <v>35000</v>
      </c>
      <c r="F140" s="369">
        <v>47794.8</v>
      </c>
      <c r="G140" s="206">
        <v>100000</v>
      </c>
      <c r="H140" s="87"/>
    </row>
    <row r="141" spans="1:8" s="101" customFormat="1" ht="15">
      <c r="A141" s="87"/>
      <c r="B141" s="204" t="s">
        <v>274</v>
      </c>
      <c r="C141" s="181">
        <v>786</v>
      </c>
      <c r="D141" s="205"/>
      <c r="E141" s="205">
        <v>330580</v>
      </c>
      <c r="F141" s="369">
        <v>349859</v>
      </c>
      <c r="G141" s="206">
        <v>568550</v>
      </c>
      <c r="H141" s="87"/>
    </row>
    <row r="142" spans="1:8" s="101" customFormat="1" ht="15.75" hidden="1">
      <c r="A142" s="87"/>
      <c r="B142" s="204" t="s">
        <v>275</v>
      </c>
      <c r="C142" s="181">
        <v>787</v>
      </c>
      <c r="D142" s="205"/>
      <c r="E142" s="205"/>
      <c r="F142" s="205"/>
      <c r="G142" s="206"/>
      <c r="H142" s="87"/>
    </row>
    <row r="143" spans="1:8" s="101" customFormat="1" ht="15.75" hidden="1">
      <c r="A143" s="87"/>
      <c r="B143" s="204" t="s">
        <v>276</v>
      </c>
      <c r="C143" s="181">
        <v>791</v>
      </c>
      <c r="D143" s="205"/>
      <c r="E143" s="205"/>
      <c r="F143" s="205"/>
      <c r="G143" s="206"/>
      <c r="H143" s="87"/>
    </row>
    <row r="144" spans="1:8" s="101" customFormat="1" ht="15.75" hidden="1">
      <c r="A144" s="87"/>
      <c r="B144" s="204" t="s">
        <v>365</v>
      </c>
      <c r="C144" s="181">
        <v>792</v>
      </c>
      <c r="D144" s="205"/>
      <c r="E144" s="205"/>
      <c r="F144" s="205"/>
      <c r="G144" s="206"/>
      <c r="H144" s="87"/>
    </row>
    <row r="145" spans="1:8" s="101" customFormat="1" ht="15.75" hidden="1">
      <c r="A145" s="87"/>
      <c r="B145" s="204" t="s">
        <v>277</v>
      </c>
      <c r="C145" s="181">
        <v>793</v>
      </c>
      <c r="D145" s="205"/>
      <c r="E145" s="205"/>
      <c r="F145" s="205"/>
      <c r="G145" s="206"/>
      <c r="H145" s="87"/>
    </row>
    <row r="146" spans="1:8" s="101" customFormat="1" ht="15">
      <c r="A146" s="87"/>
      <c r="B146" s="188" t="s">
        <v>278</v>
      </c>
      <c r="C146" s="181">
        <v>795</v>
      </c>
      <c r="D146" s="205"/>
      <c r="E146" s="205">
        <v>42078877.79</v>
      </c>
      <c r="F146" s="369">
        <v>62855742.57999999</v>
      </c>
      <c r="G146" s="206">
        <v>65833035.4</v>
      </c>
      <c r="H146" s="87"/>
    </row>
    <row r="147" spans="1:8" s="101" customFormat="1" ht="15">
      <c r="A147" s="87"/>
      <c r="B147" s="188" t="s">
        <v>279</v>
      </c>
      <c r="C147" s="181">
        <v>799</v>
      </c>
      <c r="D147" s="205"/>
      <c r="E147" s="205"/>
      <c r="F147" s="205"/>
      <c r="G147" s="206">
        <v>8000</v>
      </c>
      <c r="H147" s="87"/>
    </row>
    <row r="148" spans="1:8" s="101" customFormat="1" ht="15.75" hidden="1">
      <c r="A148" s="87"/>
      <c r="B148" s="188" t="s">
        <v>280</v>
      </c>
      <c r="C148" s="181">
        <v>802</v>
      </c>
      <c r="D148" s="205"/>
      <c r="E148" s="205"/>
      <c r="F148" s="205"/>
      <c r="G148" s="206"/>
      <c r="H148" s="87"/>
    </row>
    <row r="149" spans="1:8" s="101" customFormat="1" ht="15.75" hidden="1">
      <c r="A149" s="87"/>
      <c r="B149" s="188" t="s">
        <v>281</v>
      </c>
      <c r="C149" s="181">
        <v>805</v>
      </c>
      <c r="D149" s="205"/>
      <c r="E149" s="205"/>
      <c r="F149" s="205"/>
      <c r="G149" s="206"/>
      <c r="H149" s="87"/>
    </row>
    <row r="150" spans="1:8" s="101" customFormat="1" ht="15">
      <c r="A150" s="87"/>
      <c r="B150" s="188" t="s">
        <v>282</v>
      </c>
      <c r="C150" s="181">
        <v>811</v>
      </c>
      <c r="D150" s="205"/>
      <c r="E150" s="205"/>
      <c r="F150" s="369">
        <v>210618.2</v>
      </c>
      <c r="G150" s="206">
        <v>270000</v>
      </c>
      <c r="H150" s="87"/>
    </row>
    <row r="151" spans="1:8" s="101" customFormat="1" ht="15.75" hidden="1">
      <c r="A151" s="87"/>
      <c r="B151" s="188" t="s">
        <v>283</v>
      </c>
      <c r="C151" s="181">
        <v>812</v>
      </c>
      <c r="D151" s="205"/>
      <c r="E151" s="205"/>
      <c r="F151" s="205"/>
      <c r="G151" s="206"/>
      <c r="H151" s="87"/>
    </row>
    <row r="152" spans="1:8" s="101" customFormat="1" ht="15">
      <c r="A152" s="87"/>
      <c r="B152" s="188" t="s">
        <v>284</v>
      </c>
      <c r="C152" s="181">
        <v>813</v>
      </c>
      <c r="D152" s="205"/>
      <c r="E152" s="205"/>
      <c r="F152" s="369">
        <v>65793.4</v>
      </c>
      <c r="G152" s="206">
        <v>117000</v>
      </c>
      <c r="H152" s="87"/>
    </row>
    <row r="153" spans="1:8" s="101" customFormat="1" ht="15">
      <c r="A153" s="87"/>
      <c r="B153" s="188" t="s">
        <v>285</v>
      </c>
      <c r="C153" s="181">
        <v>814</v>
      </c>
      <c r="D153" s="205"/>
      <c r="E153" s="205">
        <v>17100</v>
      </c>
      <c r="F153" s="205"/>
      <c r="G153" s="206"/>
      <c r="H153" s="87"/>
    </row>
    <row r="154" spans="1:8" s="101" customFormat="1" ht="15">
      <c r="A154" s="87"/>
      <c r="B154" s="188" t="s">
        <v>286</v>
      </c>
      <c r="C154" s="181">
        <v>815</v>
      </c>
      <c r="D154" s="205"/>
      <c r="E154" s="205">
        <v>11471.75</v>
      </c>
      <c r="F154" s="205"/>
      <c r="G154" s="206"/>
      <c r="H154" s="87"/>
    </row>
    <row r="155" spans="1:8" s="101" customFormat="1" ht="15.75" hidden="1">
      <c r="A155" s="87"/>
      <c r="B155" s="188" t="s">
        <v>287</v>
      </c>
      <c r="C155" s="181">
        <v>816</v>
      </c>
      <c r="D155" s="205"/>
      <c r="E155" s="205"/>
      <c r="F155" s="205"/>
      <c r="G155" s="206"/>
      <c r="H155" s="87"/>
    </row>
    <row r="156" spans="1:8" s="101" customFormat="1" ht="15">
      <c r="A156" s="87"/>
      <c r="B156" s="188" t="s">
        <v>288</v>
      </c>
      <c r="C156" s="181">
        <v>821</v>
      </c>
      <c r="D156" s="205"/>
      <c r="E156" s="205">
        <v>131732</v>
      </c>
      <c r="F156" s="369">
        <v>100522</v>
      </c>
      <c r="G156" s="206">
        <v>277000</v>
      </c>
      <c r="H156" s="87"/>
    </row>
    <row r="157" spans="1:8" s="101" customFormat="1" ht="15.75" hidden="1">
      <c r="A157" s="87"/>
      <c r="B157" s="188" t="s">
        <v>289</v>
      </c>
      <c r="C157" s="181">
        <v>822</v>
      </c>
      <c r="D157" s="205"/>
      <c r="E157" s="205"/>
      <c r="F157" s="205"/>
      <c r="G157" s="206"/>
      <c r="H157" s="87"/>
    </row>
    <row r="158" spans="1:8" s="101" customFormat="1" ht="15">
      <c r="A158" s="87"/>
      <c r="B158" s="188" t="s">
        <v>290</v>
      </c>
      <c r="C158" s="181">
        <v>823</v>
      </c>
      <c r="D158" s="205"/>
      <c r="E158" s="205">
        <v>246097.7</v>
      </c>
      <c r="F158" s="369">
        <v>161730.5</v>
      </c>
      <c r="G158" s="206">
        <v>481000</v>
      </c>
      <c r="H158" s="87"/>
    </row>
    <row r="159" spans="1:8" s="101" customFormat="1" ht="15.75" hidden="1">
      <c r="A159" s="87"/>
      <c r="B159" s="188" t="s">
        <v>291</v>
      </c>
      <c r="C159" s="181">
        <v>827</v>
      </c>
      <c r="D159" s="205"/>
      <c r="E159" s="205"/>
      <c r="F159" s="205"/>
      <c r="G159" s="206"/>
      <c r="H159" s="87"/>
    </row>
    <row r="160" spans="1:8" s="101" customFormat="1" ht="15.75" hidden="1">
      <c r="A160" s="87"/>
      <c r="B160" s="188" t="s">
        <v>292</v>
      </c>
      <c r="C160" s="181">
        <v>829</v>
      </c>
      <c r="D160" s="205"/>
      <c r="E160" s="205"/>
      <c r="F160" s="205"/>
      <c r="G160" s="206"/>
      <c r="H160" s="87"/>
    </row>
    <row r="161" spans="1:8" s="101" customFormat="1" ht="15.75" hidden="1">
      <c r="A161" s="87"/>
      <c r="B161" s="188" t="s">
        <v>293</v>
      </c>
      <c r="C161" s="181">
        <v>831</v>
      </c>
      <c r="D161" s="205"/>
      <c r="E161" s="205"/>
      <c r="F161" s="205"/>
      <c r="G161" s="206"/>
      <c r="H161" s="87"/>
    </row>
    <row r="162" spans="1:8" s="101" customFormat="1" ht="15">
      <c r="A162" s="87"/>
      <c r="B162" s="188" t="s">
        <v>294</v>
      </c>
      <c r="C162" s="181">
        <v>833</v>
      </c>
      <c r="D162" s="205"/>
      <c r="E162" s="205">
        <v>119950</v>
      </c>
      <c r="F162" s="369">
        <v>114135</v>
      </c>
      <c r="G162" s="206">
        <v>146000</v>
      </c>
      <c r="H162" s="87"/>
    </row>
    <row r="163" spans="1:8" s="101" customFormat="1" ht="15.75" hidden="1">
      <c r="A163" s="87"/>
      <c r="B163" s="188" t="s">
        <v>295</v>
      </c>
      <c r="C163" s="181">
        <v>836</v>
      </c>
      <c r="D163" s="205"/>
      <c r="E163" s="205"/>
      <c r="F163" s="205"/>
      <c r="G163" s="206"/>
      <c r="H163" s="87"/>
    </row>
    <row r="164" spans="1:8" s="101" customFormat="1" ht="15">
      <c r="A164" s="87"/>
      <c r="B164" s="188" t="s">
        <v>296</v>
      </c>
      <c r="C164" s="181">
        <v>840</v>
      </c>
      <c r="D164" s="205"/>
      <c r="E164" s="205">
        <v>1095335.5</v>
      </c>
      <c r="F164" s="369">
        <v>179545</v>
      </c>
      <c r="G164" s="206">
        <v>200000</v>
      </c>
      <c r="H164" s="87"/>
    </row>
    <row r="165" spans="1:8" s="101" customFormat="1" ht="15">
      <c r="A165" s="87"/>
      <c r="B165" s="188" t="s">
        <v>297</v>
      </c>
      <c r="C165" s="181">
        <v>841</v>
      </c>
      <c r="D165" s="205"/>
      <c r="E165" s="205">
        <v>12406102.09</v>
      </c>
      <c r="F165" s="369">
        <v>14387728.5</v>
      </c>
      <c r="G165" s="206">
        <v>17399000</v>
      </c>
      <c r="H165" s="87"/>
    </row>
    <row r="166" spans="1:8" s="101" customFormat="1" ht="15.75" hidden="1">
      <c r="A166" s="87"/>
      <c r="B166" s="188" t="s">
        <v>298</v>
      </c>
      <c r="C166" s="181">
        <v>844</v>
      </c>
      <c r="D166" s="205"/>
      <c r="E166" s="205"/>
      <c r="F166" s="205"/>
      <c r="G166" s="206"/>
      <c r="H166" s="87"/>
    </row>
    <row r="167" spans="1:8" s="101" customFormat="1" ht="15">
      <c r="A167" s="87"/>
      <c r="B167" s="188" t="s">
        <v>299</v>
      </c>
      <c r="C167" s="181">
        <v>850</v>
      </c>
      <c r="D167" s="205"/>
      <c r="E167" s="205">
        <v>14350</v>
      </c>
      <c r="F167" s="205"/>
      <c r="G167" s="206">
        <v>50000</v>
      </c>
      <c r="H167" s="87"/>
    </row>
    <row r="168" spans="1:8" s="101" customFormat="1" ht="15.75" hidden="1">
      <c r="A168" s="87"/>
      <c r="B168" s="188" t="s">
        <v>461</v>
      </c>
      <c r="C168" s="181">
        <v>852</v>
      </c>
      <c r="D168" s="205"/>
      <c r="E168" s="205"/>
      <c r="F168" s="205"/>
      <c r="G168" s="206"/>
      <c r="H168" s="87"/>
    </row>
    <row r="169" spans="1:8" s="101" customFormat="1" ht="15">
      <c r="A169" s="87"/>
      <c r="B169" s="188" t="s">
        <v>301</v>
      </c>
      <c r="C169" s="181">
        <v>854</v>
      </c>
      <c r="D169" s="205"/>
      <c r="E169" s="205">
        <v>162731</v>
      </c>
      <c r="F169" s="205"/>
      <c r="G169" s="206"/>
      <c r="H169" s="87"/>
    </row>
    <row r="170" spans="1:8" s="101" customFormat="1" ht="15.75" hidden="1">
      <c r="A170" s="87"/>
      <c r="B170" s="188" t="s">
        <v>302</v>
      </c>
      <c r="C170" s="181">
        <v>855</v>
      </c>
      <c r="D170" s="205"/>
      <c r="E170" s="205"/>
      <c r="F170" s="205"/>
      <c r="G170" s="206"/>
      <c r="H170" s="87"/>
    </row>
    <row r="171" spans="1:8" s="101" customFormat="1" ht="15.75" hidden="1">
      <c r="A171" s="87"/>
      <c r="B171" s="188" t="s">
        <v>366</v>
      </c>
      <c r="C171" s="181">
        <v>856</v>
      </c>
      <c r="D171" s="205"/>
      <c r="E171" s="205"/>
      <c r="F171" s="205"/>
      <c r="G171" s="206"/>
      <c r="H171" s="87"/>
    </row>
    <row r="172" spans="1:8" s="101" customFormat="1" ht="15.75" hidden="1">
      <c r="A172" s="87"/>
      <c r="B172" s="188" t="s">
        <v>303</v>
      </c>
      <c r="C172" s="181">
        <v>857</v>
      </c>
      <c r="D172" s="205"/>
      <c r="E172" s="205"/>
      <c r="F172" s="205"/>
      <c r="G172" s="206"/>
      <c r="H172" s="87"/>
    </row>
    <row r="173" spans="1:8" s="101" customFormat="1" ht="15.75" hidden="1">
      <c r="A173" s="87"/>
      <c r="B173" s="188" t="s">
        <v>304</v>
      </c>
      <c r="C173" s="181">
        <v>860</v>
      </c>
      <c r="D173" s="205"/>
      <c r="E173" s="205"/>
      <c r="F173" s="205"/>
      <c r="G173" s="206"/>
      <c r="H173" s="87"/>
    </row>
    <row r="174" spans="1:8" s="101" customFormat="1" ht="15.75" hidden="1">
      <c r="A174" s="87"/>
      <c r="B174" s="188" t="s">
        <v>305</v>
      </c>
      <c r="C174" s="181">
        <v>876</v>
      </c>
      <c r="D174" s="205"/>
      <c r="E174" s="205"/>
      <c r="F174" s="205"/>
      <c r="G174" s="206"/>
      <c r="H174" s="87"/>
    </row>
    <row r="175" spans="1:8" s="101" customFormat="1" ht="15.75" hidden="1">
      <c r="A175" s="87"/>
      <c r="B175" s="188" t="s">
        <v>367</v>
      </c>
      <c r="C175" s="181">
        <v>877</v>
      </c>
      <c r="D175" s="205"/>
      <c r="E175" s="205"/>
      <c r="F175" s="205"/>
      <c r="G175" s="206"/>
      <c r="H175" s="87"/>
    </row>
    <row r="176" spans="1:8" s="101" customFormat="1" ht="15">
      <c r="A176" s="87"/>
      <c r="B176" s="188" t="s">
        <v>306</v>
      </c>
      <c r="C176" s="181">
        <v>878</v>
      </c>
      <c r="D176" s="205"/>
      <c r="E176" s="205">
        <v>19357439.33</v>
      </c>
      <c r="F176" s="369">
        <v>18967500</v>
      </c>
      <c r="G176" s="206">
        <v>20000000</v>
      </c>
      <c r="H176" s="87"/>
    </row>
    <row r="177" spans="1:8" s="101" customFormat="1" ht="15">
      <c r="A177" s="87"/>
      <c r="B177" s="188" t="s">
        <v>307</v>
      </c>
      <c r="C177" s="181">
        <v>881</v>
      </c>
      <c r="D177" s="205"/>
      <c r="E177" s="205">
        <v>1780000</v>
      </c>
      <c r="F177" s="369">
        <v>2275652.79</v>
      </c>
      <c r="G177" s="206">
        <v>2275705.57</v>
      </c>
      <c r="H177" s="87"/>
    </row>
    <row r="178" spans="1:8" s="101" customFormat="1" ht="15.75" hidden="1">
      <c r="A178" s="87"/>
      <c r="B178" s="188" t="s">
        <v>308</v>
      </c>
      <c r="C178" s="181">
        <v>882</v>
      </c>
      <c r="D178" s="205"/>
      <c r="E178" s="205"/>
      <c r="F178" s="205"/>
      <c r="G178" s="206"/>
      <c r="H178" s="87"/>
    </row>
    <row r="179" spans="1:8" s="101" customFormat="1" ht="15.75" hidden="1">
      <c r="A179" s="87"/>
      <c r="B179" s="188" t="s">
        <v>309</v>
      </c>
      <c r="C179" s="181">
        <v>891</v>
      </c>
      <c r="D179" s="205"/>
      <c r="E179" s="205"/>
      <c r="F179" s="205"/>
      <c r="G179" s="206"/>
      <c r="H179" s="87"/>
    </row>
    <row r="180" spans="1:8" s="101" customFormat="1" ht="15">
      <c r="A180" s="87"/>
      <c r="B180" s="188" t="s">
        <v>310</v>
      </c>
      <c r="C180" s="181">
        <v>892</v>
      </c>
      <c r="D180" s="205"/>
      <c r="E180" s="205">
        <v>516021</v>
      </c>
      <c r="F180" s="369">
        <v>421500</v>
      </c>
      <c r="G180" s="206">
        <v>498400</v>
      </c>
      <c r="H180" s="87"/>
    </row>
    <row r="181" spans="1:8" s="101" customFormat="1" ht="15">
      <c r="A181" s="87"/>
      <c r="B181" s="188" t="s">
        <v>311</v>
      </c>
      <c r="C181" s="181">
        <v>893</v>
      </c>
      <c r="D181" s="205"/>
      <c r="E181" s="205">
        <v>1352930.11</v>
      </c>
      <c r="F181" s="369">
        <v>3860554.24</v>
      </c>
      <c r="G181" s="206">
        <v>5000000</v>
      </c>
      <c r="H181" s="87"/>
    </row>
    <row r="182" spans="1:8" s="101" customFormat="1" ht="15.75" hidden="1">
      <c r="A182" s="87"/>
      <c r="B182" s="188" t="s">
        <v>312</v>
      </c>
      <c r="C182" s="181">
        <v>902</v>
      </c>
      <c r="D182" s="205"/>
      <c r="E182" s="205"/>
      <c r="F182" s="205"/>
      <c r="G182" s="206"/>
      <c r="H182" s="87"/>
    </row>
    <row r="183" spans="1:8" s="101" customFormat="1" ht="15.75" hidden="1">
      <c r="A183" s="87"/>
      <c r="B183" s="188" t="s">
        <v>313</v>
      </c>
      <c r="C183" s="181">
        <v>905</v>
      </c>
      <c r="D183" s="205"/>
      <c r="E183" s="205"/>
      <c r="F183" s="205"/>
      <c r="G183" s="206"/>
      <c r="H183" s="87"/>
    </row>
    <row r="184" spans="1:8" s="101" customFormat="1" ht="15.75" hidden="1">
      <c r="A184" s="87"/>
      <c r="B184" s="188" t="s">
        <v>314</v>
      </c>
      <c r="C184" s="181">
        <v>911</v>
      </c>
      <c r="D184" s="205"/>
      <c r="E184" s="205"/>
      <c r="F184" s="205"/>
      <c r="G184" s="206"/>
      <c r="H184" s="87"/>
    </row>
    <row r="185" spans="1:8" s="101" customFormat="1" ht="15.75" hidden="1">
      <c r="A185" s="87"/>
      <c r="B185" s="188" t="s">
        <v>315</v>
      </c>
      <c r="C185" s="181">
        <v>912</v>
      </c>
      <c r="D185" s="205"/>
      <c r="E185" s="205"/>
      <c r="F185" s="205"/>
      <c r="G185" s="206"/>
      <c r="H185" s="87"/>
    </row>
    <row r="186" spans="1:8" s="101" customFormat="1" ht="15.75" hidden="1">
      <c r="A186" s="87"/>
      <c r="B186" s="188" t="s">
        <v>316</v>
      </c>
      <c r="C186" s="181">
        <v>913</v>
      </c>
      <c r="D186" s="205"/>
      <c r="E186" s="205"/>
      <c r="F186" s="205"/>
      <c r="G186" s="206"/>
      <c r="H186" s="87"/>
    </row>
    <row r="187" spans="1:8" s="101" customFormat="1" ht="15.75" hidden="1">
      <c r="A187" s="87"/>
      <c r="B187" s="188" t="s">
        <v>317</v>
      </c>
      <c r="C187" s="181">
        <v>914</v>
      </c>
      <c r="D187" s="205"/>
      <c r="E187" s="205"/>
      <c r="F187" s="205"/>
      <c r="G187" s="206"/>
      <c r="H187" s="87"/>
    </row>
    <row r="188" spans="1:8" s="101" customFormat="1" ht="15.75" hidden="1">
      <c r="A188" s="87"/>
      <c r="B188" s="188" t="s">
        <v>318</v>
      </c>
      <c r="C188" s="181">
        <v>915</v>
      </c>
      <c r="D188" s="205"/>
      <c r="E188" s="205"/>
      <c r="F188" s="205"/>
      <c r="G188" s="206"/>
      <c r="H188" s="87"/>
    </row>
    <row r="189" spans="1:8" s="101" customFormat="1" ht="15.75" hidden="1">
      <c r="A189" s="87"/>
      <c r="B189" s="188" t="s">
        <v>319</v>
      </c>
      <c r="C189" s="181">
        <v>921</v>
      </c>
      <c r="D189" s="205"/>
      <c r="E189" s="205"/>
      <c r="F189" s="205"/>
      <c r="G189" s="206"/>
      <c r="H189" s="87"/>
    </row>
    <row r="190" spans="1:8" s="101" customFormat="1" ht="15.75" hidden="1">
      <c r="A190" s="87"/>
      <c r="B190" s="188" t="s">
        <v>320</v>
      </c>
      <c r="C190" s="181">
        <v>922</v>
      </c>
      <c r="D190" s="205"/>
      <c r="E190" s="205"/>
      <c r="F190" s="205"/>
      <c r="G190" s="206"/>
      <c r="H190" s="87"/>
    </row>
    <row r="191" spans="1:8" s="101" customFormat="1" ht="15.75" hidden="1">
      <c r="A191" s="87"/>
      <c r="B191" s="188" t="s">
        <v>321</v>
      </c>
      <c r="C191" s="181">
        <v>923</v>
      </c>
      <c r="D191" s="205"/>
      <c r="E191" s="205"/>
      <c r="F191" s="205"/>
      <c r="G191" s="206"/>
      <c r="H191" s="87"/>
    </row>
    <row r="192" spans="1:8" s="101" customFormat="1" ht="15.75" hidden="1">
      <c r="A192" s="87"/>
      <c r="B192" s="188" t="s">
        <v>322</v>
      </c>
      <c r="C192" s="181">
        <v>924</v>
      </c>
      <c r="D192" s="205"/>
      <c r="E192" s="205"/>
      <c r="F192" s="205"/>
      <c r="G192" s="206"/>
      <c r="H192" s="87"/>
    </row>
    <row r="193" spans="1:8" s="101" customFormat="1" ht="15.75" hidden="1">
      <c r="A193" s="87"/>
      <c r="B193" s="188" t="s">
        <v>368</v>
      </c>
      <c r="C193" s="181">
        <v>926</v>
      </c>
      <c r="D193" s="205"/>
      <c r="E193" s="205"/>
      <c r="F193" s="205"/>
      <c r="G193" s="206"/>
      <c r="H193" s="87"/>
    </row>
    <row r="194" spans="1:8" s="101" customFormat="1" ht="15.75" hidden="1">
      <c r="A194" s="87"/>
      <c r="B194" s="188" t="s">
        <v>323</v>
      </c>
      <c r="C194" s="181">
        <v>927</v>
      </c>
      <c r="D194" s="205"/>
      <c r="E194" s="205"/>
      <c r="F194" s="205"/>
      <c r="G194" s="206"/>
      <c r="H194" s="87"/>
    </row>
    <row r="195" spans="1:8" s="101" customFormat="1" ht="15.75" hidden="1">
      <c r="A195" s="87"/>
      <c r="B195" s="188" t="s">
        <v>324</v>
      </c>
      <c r="C195" s="181">
        <v>929</v>
      </c>
      <c r="D195" s="205"/>
      <c r="E195" s="205"/>
      <c r="F195" s="205"/>
      <c r="G195" s="206"/>
      <c r="H195" s="87"/>
    </row>
    <row r="196" spans="1:8" s="101" customFormat="1" ht="15.75" hidden="1">
      <c r="A196" s="87"/>
      <c r="B196" s="188" t="s">
        <v>325</v>
      </c>
      <c r="C196" s="181">
        <v>930</v>
      </c>
      <c r="D196" s="205"/>
      <c r="E196" s="205"/>
      <c r="F196" s="205"/>
      <c r="G196" s="206"/>
      <c r="H196" s="87"/>
    </row>
    <row r="197" spans="1:8" s="101" customFormat="1" ht="15.75" hidden="1">
      <c r="A197" s="87"/>
      <c r="B197" s="188" t="s">
        <v>369</v>
      </c>
      <c r="C197" s="181">
        <v>931</v>
      </c>
      <c r="D197" s="205"/>
      <c r="E197" s="205"/>
      <c r="F197" s="205"/>
      <c r="G197" s="206"/>
      <c r="H197" s="87"/>
    </row>
    <row r="198" spans="1:8" s="101" customFormat="1" ht="15.75" hidden="1">
      <c r="A198" s="87"/>
      <c r="B198" s="188" t="s">
        <v>326</v>
      </c>
      <c r="C198" s="181">
        <v>932</v>
      </c>
      <c r="D198" s="205"/>
      <c r="E198" s="205"/>
      <c r="F198" s="205"/>
      <c r="G198" s="206"/>
      <c r="H198" s="87"/>
    </row>
    <row r="199" spans="1:8" s="101" customFormat="1" ht="15.75" hidden="1">
      <c r="A199" s="87"/>
      <c r="B199" s="188" t="s">
        <v>327</v>
      </c>
      <c r="C199" s="181">
        <v>933</v>
      </c>
      <c r="D199" s="205"/>
      <c r="E199" s="205"/>
      <c r="F199" s="205"/>
      <c r="G199" s="206"/>
      <c r="H199" s="87"/>
    </row>
    <row r="200" spans="1:8" s="101" customFormat="1" ht="15.75" hidden="1">
      <c r="A200" s="87"/>
      <c r="B200" s="188" t="s">
        <v>328</v>
      </c>
      <c r="C200" s="181">
        <v>934</v>
      </c>
      <c r="D200" s="205"/>
      <c r="E200" s="205"/>
      <c r="F200" s="205"/>
      <c r="G200" s="206"/>
      <c r="H200" s="87"/>
    </row>
    <row r="201" spans="1:8" s="101" customFormat="1" ht="15.75" hidden="1">
      <c r="A201" s="87"/>
      <c r="B201" s="188" t="s">
        <v>329</v>
      </c>
      <c r="C201" s="181">
        <v>936</v>
      </c>
      <c r="D201" s="205"/>
      <c r="E201" s="205"/>
      <c r="F201" s="205"/>
      <c r="G201" s="206"/>
      <c r="H201" s="87"/>
    </row>
    <row r="202" spans="1:8" s="101" customFormat="1" ht="15.75" hidden="1">
      <c r="A202" s="87"/>
      <c r="B202" s="188" t="s">
        <v>330</v>
      </c>
      <c r="C202" s="181">
        <v>940</v>
      </c>
      <c r="D202" s="205"/>
      <c r="E202" s="205"/>
      <c r="F202" s="205"/>
      <c r="G202" s="206"/>
      <c r="H202" s="87"/>
    </row>
    <row r="203" spans="1:8" s="101" customFormat="1" ht="15.75" hidden="1">
      <c r="A203" s="87"/>
      <c r="B203" s="188" t="s">
        <v>331</v>
      </c>
      <c r="C203" s="181">
        <v>941</v>
      </c>
      <c r="D203" s="205"/>
      <c r="E203" s="205"/>
      <c r="F203" s="205"/>
      <c r="G203" s="206"/>
      <c r="H203" s="87"/>
    </row>
    <row r="204" spans="1:8" s="101" customFormat="1" ht="15.75" hidden="1">
      <c r="A204" s="87"/>
      <c r="B204" s="188" t="s">
        <v>332</v>
      </c>
      <c r="C204" s="181">
        <v>944</v>
      </c>
      <c r="D204" s="205"/>
      <c r="E204" s="205"/>
      <c r="F204" s="205"/>
      <c r="G204" s="206"/>
      <c r="H204" s="87"/>
    </row>
    <row r="205" spans="1:8" s="101" customFormat="1" ht="15.75" hidden="1">
      <c r="A205" s="87"/>
      <c r="B205" s="188" t="s">
        <v>370</v>
      </c>
      <c r="C205" s="181">
        <v>948</v>
      </c>
      <c r="D205" s="210"/>
      <c r="E205" s="210"/>
      <c r="F205" s="210"/>
      <c r="G205" s="206"/>
      <c r="H205" s="87"/>
    </row>
    <row r="206" spans="1:8" s="101" customFormat="1" ht="15">
      <c r="A206" s="87"/>
      <c r="B206" s="188" t="s">
        <v>333</v>
      </c>
      <c r="C206" s="181">
        <v>969</v>
      </c>
      <c r="D206" s="211"/>
      <c r="E206" s="211">
        <v>997096.4600000001</v>
      </c>
      <c r="F206" s="370">
        <v>1571573</v>
      </c>
      <c r="G206" s="338">
        <v>10516050</v>
      </c>
      <c r="H206" s="87"/>
    </row>
    <row r="207" spans="1:9" s="101" customFormat="1" ht="15">
      <c r="A207" s="87"/>
      <c r="B207" s="212" t="s">
        <v>334</v>
      </c>
      <c r="C207" s="164"/>
      <c r="D207" s="213">
        <f>SUM(D114:D206)</f>
        <v>0</v>
      </c>
      <c r="E207" s="213">
        <f>SUM(E114:E206)</f>
        <v>224312066.76000002</v>
      </c>
      <c r="F207" s="213">
        <f>SUM(F114:F206)</f>
        <v>251763213.76999998</v>
      </c>
      <c r="G207" s="214">
        <f>SUM(G114:G206)</f>
        <v>281892725.57</v>
      </c>
      <c r="H207" s="87"/>
      <c r="I207" s="371">
        <v>251763213.76999998</v>
      </c>
    </row>
    <row r="208" spans="1:8" s="101" customFormat="1" ht="15">
      <c r="A208" s="87"/>
      <c r="B208" s="212"/>
      <c r="C208" s="164"/>
      <c r="D208" s="215"/>
      <c r="E208" s="215"/>
      <c r="F208" s="215"/>
      <c r="G208" s="216"/>
      <c r="H208" s="87"/>
    </row>
    <row r="209" spans="1:8" s="101" customFormat="1" ht="15">
      <c r="A209" s="87"/>
      <c r="B209" s="212"/>
      <c r="C209" s="164"/>
      <c r="D209" s="215"/>
      <c r="E209" s="215"/>
      <c r="F209" s="215"/>
      <c r="G209" s="216"/>
      <c r="H209" s="87"/>
    </row>
    <row r="210" spans="1:8" s="101" customFormat="1" ht="15">
      <c r="A210" s="87"/>
      <c r="B210" s="212" t="s">
        <v>335</v>
      </c>
      <c r="C210" s="164"/>
      <c r="D210" s="215"/>
      <c r="E210" s="215"/>
      <c r="F210" s="215"/>
      <c r="G210" s="216"/>
      <c r="H210" s="87"/>
    </row>
    <row r="211" spans="1:8" s="101" customFormat="1" ht="15">
      <c r="A211" s="87"/>
      <c r="B211" s="188" t="s">
        <v>336</v>
      </c>
      <c r="C211" s="181">
        <v>971</v>
      </c>
      <c r="D211" s="205"/>
      <c r="E211" s="205">
        <v>26017.5</v>
      </c>
      <c r="F211" s="205">
        <v>17200</v>
      </c>
      <c r="G211" s="206">
        <v>20000</v>
      </c>
      <c r="H211" s="87"/>
    </row>
    <row r="212" spans="1:8" s="101" customFormat="1" ht="15">
      <c r="A212" s="87"/>
      <c r="B212" s="188" t="s">
        <v>337</v>
      </c>
      <c r="C212" s="181">
        <v>974</v>
      </c>
      <c r="D212" s="205"/>
      <c r="E212" s="205"/>
      <c r="F212" s="205"/>
      <c r="G212" s="206"/>
      <c r="H212" s="87"/>
    </row>
    <row r="213" spans="2:7" ht="15">
      <c r="B213" s="188" t="s">
        <v>338</v>
      </c>
      <c r="C213" s="181">
        <v>975</v>
      </c>
      <c r="D213" s="205"/>
      <c r="E213" s="205">
        <v>75112978.96</v>
      </c>
      <c r="F213" s="205">
        <v>81828687.77</v>
      </c>
      <c r="G213" s="206"/>
    </row>
    <row r="214" spans="2:7" ht="15">
      <c r="B214" s="188" t="s">
        <v>339</v>
      </c>
      <c r="C214" s="181">
        <v>979</v>
      </c>
      <c r="D214" s="211"/>
      <c r="E214" s="211">
        <v>121266.6</v>
      </c>
      <c r="F214" s="211">
        <v>78542.78</v>
      </c>
      <c r="G214" s="217"/>
    </row>
    <row r="215" spans="2:9" ht="15">
      <c r="B215" s="365" t="s">
        <v>340</v>
      </c>
      <c r="C215" s="181"/>
      <c r="D215" s="213">
        <f>SUM(D211:D214)</f>
        <v>0</v>
      </c>
      <c r="E215" s="213">
        <f>SUM(E211:E214)</f>
        <v>75260263.05999999</v>
      </c>
      <c r="F215" s="213">
        <f>SUM(F211:F214)</f>
        <v>81924430.55</v>
      </c>
      <c r="G215" s="214">
        <f>SUM(G211:G214)</f>
        <v>20000</v>
      </c>
      <c r="I215" s="372">
        <v>81924430.55</v>
      </c>
    </row>
    <row r="216" spans="2:7" ht="15">
      <c r="B216" s="365"/>
      <c r="C216" s="181"/>
      <c r="D216" s="359"/>
      <c r="E216" s="359"/>
      <c r="F216" s="359"/>
      <c r="G216" s="360"/>
    </row>
    <row r="217" spans="2:9" ht="15">
      <c r="B217" s="201" t="s">
        <v>341</v>
      </c>
      <c r="C217" s="181"/>
      <c r="D217" s="362">
        <f>D110+D207+D215</f>
        <v>0</v>
      </c>
      <c r="E217" s="208">
        <f>E110+E207+E215</f>
        <v>644564284.98</v>
      </c>
      <c r="F217" s="208">
        <f>F110+F207+F215</f>
        <v>672593176.38</v>
      </c>
      <c r="G217" s="209">
        <f>G110+G207+G215</f>
        <v>696636096.54</v>
      </c>
      <c r="I217" s="372">
        <v>672593176.38</v>
      </c>
    </row>
    <row r="218" spans="2:7" ht="15">
      <c r="B218" s="201"/>
      <c r="C218" s="181"/>
      <c r="D218" s="362"/>
      <c r="E218" s="208"/>
      <c r="F218" s="208"/>
      <c r="G218" s="209"/>
    </row>
    <row r="219" spans="2:7" ht="15">
      <c r="B219" s="365" t="s">
        <v>469</v>
      </c>
      <c r="C219" s="181"/>
      <c r="D219" s="362"/>
      <c r="E219" s="205">
        <v>7575691</v>
      </c>
      <c r="F219" s="369">
        <v>12037963</v>
      </c>
      <c r="G219" s="206">
        <v>21167770</v>
      </c>
    </row>
    <row r="220" spans="2:7" ht="15">
      <c r="B220" s="218" t="s">
        <v>470</v>
      </c>
      <c r="C220" s="219"/>
      <c r="D220" s="362"/>
      <c r="E220" s="205">
        <v>751845039.07</v>
      </c>
      <c r="F220" s="369">
        <v>851378860.41</v>
      </c>
      <c r="G220" s="206">
        <v>1173589303.23</v>
      </c>
    </row>
    <row r="221" spans="2:7" ht="15">
      <c r="B221" s="201"/>
      <c r="C221" s="181"/>
      <c r="D221" s="208"/>
      <c r="E221" s="366"/>
      <c r="F221" s="366"/>
      <c r="G221" s="367"/>
    </row>
    <row r="222" spans="2:7" ht="15.75" thickBot="1">
      <c r="B222" s="361" t="s">
        <v>471</v>
      </c>
      <c r="C222" s="224"/>
      <c r="D222" s="363"/>
      <c r="E222" s="363">
        <f>E217+E219+E220</f>
        <v>1403985015.0500002</v>
      </c>
      <c r="F222" s="363">
        <f>F217+F219+F220</f>
        <v>1536009999.79</v>
      </c>
      <c r="G222" s="364">
        <f>G217+G219+G220</f>
        <v>1891393169.77</v>
      </c>
    </row>
    <row r="223" spans="2:7" ht="15.75">
      <c r="B223" s="161"/>
      <c r="C223" s="227"/>
      <c r="D223" s="228"/>
      <c r="E223" s="228"/>
      <c r="F223" s="228"/>
      <c r="G223" s="228"/>
    </row>
    <row r="224" spans="2:7" ht="15.75">
      <c r="B224" s="157" t="s">
        <v>135</v>
      </c>
      <c r="C224" s="158"/>
      <c r="D224" s="230"/>
      <c r="E224" s="230"/>
      <c r="F224" s="230"/>
      <c r="G224" s="230"/>
    </row>
    <row r="225" spans="2:7" ht="15.75">
      <c r="B225" s="157"/>
      <c r="C225" s="158"/>
      <c r="D225" s="230"/>
      <c r="E225" s="230"/>
      <c r="F225" s="230"/>
      <c r="G225" s="230"/>
    </row>
    <row r="226" spans="2:7" ht="15.75">
      <c r="B226" s="157"/>
      <c r="C226" s="158"/>
      <c r="D226" s="230"/>
      <c r="E226" s="230"/>
      <c r="F226" s="230"/>
      <c r="G226" s="230"/>
    </row>
    <row r="227" spans="2:8" ht="15.75">
      <c r="B227" s="231" t="s">
        <v>463</v>
      </c>
      <c r="C227" s="486" t="s">
        <v>464</v>
      </c>
      <c r="D227" s="486"/>
      <c r="E227" s="486"/>
      <c r="F227" s="230"/>
      <c r="G227" s="345"/>
      <c r="H227" s="357"/>
    </row>
    <row r="228" spans="2:8" ht="15.75">
      <c r="B228" s="157" t="s">
        <v>136</v>
      </c>
      <c r="C228" s="487" t="s">
        <v>465</v>
      </c>
      <c r="D228" s="487"/>
      <c r="E228" s="487"/>
      <c r="F228" s="230"/>
      <c r="G228" s="368"/>
      <c r="H228" s="356"/>
    </row>
    <row r="229" spans="2:7" ht="15.75">
      <c r="B229" s="157"/>
      <c r="C229" s="158"/>
      <c r="D229" s="230"/>
      <c r="E229" s="230"/>
      <c r="F229" s="230"/>
      <c r="G229" s="230"/>
    </row>
    <row r="230" spans="2:7" ht="15.75">
      <c r="B230" s="358" t="s">
        <v>466</v>
      </c>
      <c r="C230" s="232"/>
      <c r="D230" s="230"/>
      <c r="E230" s="230"/>
      <c r="F230" s="230"/>
      <c r="G230" s="230"/>
    </row>
    <row r="231" spans="2:7" ht="15.75">
      <c r="B231" s="358"/>
      <c r="C231" s="232"/>
      <c r="D231" s="230"/>
      <c r="E231" s="230"/>
      <c r="F231" s="230"/>
      <c r="G231" s="230"/>
    </row>
    <row r="232" spans="2:7" ht="15.75">
      <c r="B232" s="157"/>
      <c r="C232" s="486" t="s">
        <v>467</v>
      </c>
      <c r="D232" s="486"/>
      <c r="E232" s="486"/>
      <c r="F232" s="230"/>
      <c r="G232" s="230"/>
    </row>
    <row r="233" spans="2:7" ht="15.75">
      <c r="B233" s="157"/>
      <c r="C233" s="487" t="s">
        <v>468</v>
      </c>
      <c r="D233" s="487"/>
      <c r="E233" s="487"/>
      <c r="F233" s="230"/>
      <c r="G233" s="157"/>
    </row>
    <row r="234" spans="2:7" ht="15.75">
      <c r="B234" s="157"/>
      <c r="C234" s="158"/>
      <c r="D234" s="230"/>
      <c r="E234" s="230"/>
      <c r="F234" s="230"/>
      <c r="G234" s="157"/>
    </row>
    <row r="235" spans="2:7" ht="15.75">
      <c r="B235" s="157"/>
      <c r="C235" s="158"/>
      <c r="D235" s="230"/>
      <c r="E235" s="230"/>
      <c r="F235" s="230"/>
      <c r="G235" s="157"/>
    </row>
    <row r="236" spans="2:7" ht="15.75">
      <c r="B236" s="157"/>
      <c r="C236" s="158"/>
      <c r="D236" s="230"/>
      <c r="E236" s="230"/>
      <c r="F236" s="230"/>
      <c r="G236" s="157"/>
    </row>
    <row r="237" spans="2:7" ht="15.75">
      <c r="B237" s="157"/>
      <c r="C237" s="158"/>
      <c r="D237" s="230"/>
      <c r="E237" s="230"/>
      <c r="F237" s="230"/>
      <c r="G237" s="157"/>
    </row>
    <row r="238" spans="2:7" ht="16.5">
      <c r="B238" s="57"/>
      <c r="C238" s="105"/>
      <c r="D238" s="81"/>
      <c r="E238" s="81"/>
      <c r="F238" s="80"/>
      <c r="G238" s="57"/>
    </row>
    <row r="239" spans="2:7" ht="16.5">
      <c r="B239" s="57"/>
      <c r="C239" s="105"/>
      <c r="D239" s="81"/>
      <c r="E239" s="81"/>
      <c r="F239" s="80"/>
      <c r="G239" s="57"/>
    </row>
    <row r="240" spans="2:7" ht="16.5">
      <c r="B240" s="57"/>
      <c r="C240" s="105"/>
      <c r="D240" s="81"/>
      <c r="E240" s="81"/>
      <c r="F240" s="80"/>
      <c r="G240" s="57"/>
    </row>
    <row r="241" spans="2:7" ht="16.5">
      <c r="B241" s="57"/>
      <c r="C241" s="105"/>
      <c r="D241" s="81"/>
      <c r="E241" s="81"/>
      <c r="F241" s="80"/>
      <c r="G241" s="57"/>
    </row>
    <row r="242" spans="2:7" ht="16.5">
      <c r="B242" s="57"/>
      <c r="C242" s="105"/>
      <c r="D242" s="81"/>
      <c r="E242" s="81"/>
      <c r="F242" s="80"/>
      <c r="G242" s="57"/>
    </row>
    <row r="243" spans="2:7" ht="16.5">
      <c r="B243" s="57"/>
      <c r="C243" s="105"/>
      <c r="D243" s="81"/>
      <c r="E243" s="81"/>
      <c r="F243" s="80"/>
      <c r="G243" s="57"/>
    </row>
    <row r="244" spans="2:7" ht="16.5">
      <c r="B244" s="57"/>
      <c r="C244" s="105"/>
      <c r="D244" s="81"/>
      <c r="E244" s="81"/>
      <c r="F244" s="80"/>
      <c r="G244" s="57"/>
    </row>
    <row r="245" spans="2:7" ht="16.5">
      <c r="B245" s="57"/>
      <c r="C245" s="105"/>
      <c r="D245" s="81"/>
      <c r="E245" s="81"/>
      <c r="F245" s="80"/>
      <c r="G245" s="57"/>
    </row>
    <row r="246" spans="2:7" ht="16.5">
      <c r="B246" s="57"/>
      <c r="C246" s="105"/>
      <c r="D246" s="81"/>
      <c r="E246" s="81"/>
      <c r="F246" s="80"/>
      <c r="G246" s="57"/>
    </row>
    <row r="247" spans="2:7" ht="16.5">
      <c r="B247" s="57"/>
      <c r="C247" s="105"/>
      <c r="D247" s="81"/>
      <c r="E247" s="81"/>
      <c r="F247" s="80"/>
      <c r="G247" s="57"/>
    </row>
    <row r="248" spans="2:7" ht="16.5">
      <c r="B248" s="57"/>
      <c r="C248" s="105"/>
      <c r="D248" s="81"/>
      <c r="E248" s="81"/>
      <c r="F248" s="80"/>
      <c r="G248" s="57"/>
    </row>
    <row r="249" spans="2:7" ht="16.5">
      <c r="B249" s="57"/>
      <c r="C249" s="105"/>
      <c r="D249" s="81"/>
      <c r="E249" s="81"/>
      <c r="F249" s="80"/>
      <c r="G249" s="57"/>
    </row>
    <row r="250" spans="2:7" ht="16.5">
      <c r="B250" s="57"/>
      <c r="C250" s="105"/>
      <c r="D250" s="81"/>
      <c r="E250" s="81"/>
      <c r="F250" s="80"/>
      <c r="G250" s="57"/>
    </row>
    <row r="251" spans="2:7" ht="16.5">
      <c r="B251" s="57"/>
      <c r="C251" s="105"/>
      <c r="D251" s="81"/>
      <c r="E251" s="81"/>
      <c r="F251" s="80"/>
      <c r="G251" s="57"/>
    </row>
    <row r="252" spans="2:7" ht="16.5">
      <c r="B252" s="57"/>
      <c r="C252" s="105"/>
      <c r="D252" s="81"/>
      <c r="E252" s="81"/>
      <c r="F252" s="80"/>
      <c r="G252" s="57"/>
    </row>
    <row r="253" spans="2:7" ht="16.5">
      <c r="B253" s="85"/>
      <c r="C253" s="118"/>
      <c r="D253" s="83"/>
      <c r="E253" s="83"/>
      <c r="F253" s="84"/>
      <c r="G253" s="85"/>
    </row>
    <row r="254" spans="2:7" ht="16.5">
      <c r="B254" s="57"/>
      <c r="C254" s="105"/>
      <c r="D254" s="81"/>
      <c r="E254" s="81"/>
      <c r="F254" s="80"/>
      <c r="G254" s="57"/>
    </row>
    <row r="255" spans="2:7" ht="16.5">
      <c r="B255" s="57"/>
      <c r="C255" s="105"/>
      <c r="D255" s="81"/>
      <c r="E255" s="81"/>
      <c r="F255" s="80"/>
      <c r="G255" s="57"/>
    </row>
    <row r="256" spans="2:7" ht="16.5">
      <c r="B256" s="57"/>
      <c r="C256" s="105"/>
      <c r="D256" s="81"/>
      <c r="E256" s="81"/>
      <c r="F256" s="80"/>
      <c r="G256" s="57"/>
    </row>
    <row r="257" spans="2:7" ht="16.5">
      <c r="B257" s="57"/>
      <c r="C257" s="105"/>
      <c r="D257" s="81"/>
      <c r="E257" s="81"/>
      <c r="F257" s="80"/>
      <c r="G257" s="57"/>
    </row>
    <row r="258" spans="2:7" ht="16.5">
      <c r="B258" s="57"/>
      <c r="C258" s="105"/>
      <c r="D258" s="81"/>
      <c r="E258" s="81"/>
      <c r="F258" s="80"/>
      <c r="G258" s="57"/>
    </row>
    <row r="259" spans="2:7" ht="16.5">
      <c r="B259" s="57"/>
      <c r="C259" s="105"/>
      <c r="D259" s="81"/>
      <c r="E259" s="81"/>
      <c r="F259" s="80"/>
      <c r="G259" s="57"/>
    </row>
    <row r="260" spans="2:7" ht="16.5">
      <c r="B260" s="57"/>
      <c r="C260" s="105"/>
      <c r="D260" s="81"/>
      <c r="E260" s="81"/>
      <c r="F260" s="86"/>
      <c r="G260" s="57"/>
    </row>
    <row r="261" spans="2:7" ht="16.5">
      <c r="B261" s="57"/>
      <c r="C261" s="105"/>
      <c r="D261" s="81"/>
      <c r="E261" s="81"/>
      <c r="F261" s="86"/>
      <c r="G261" s="57"/>
    </row>
    <row r="262" spans="2:7" ht="16.5">
      <c r="B262" s="57"/>
      <c r="C262" s="105"/>
      <c r="D262" s="81"/>
      <c r="E262" s="81"/>
      <c r="F262" s="86"/>
      <c r="G262" s="57"/>
    </row>
    <row r="263" spans="2:7" ht="16.5">
      <c r="B263" s="57"/>
      <c r="C263" s="105"/>
      <c r="D263" s="81"/>
      <c r="E263" s="81"/>
      <c r="F263" s="86"/>
      <c r="G263" s="57"/>
    </row>
    <row r="264" spans="2:7" ht="16.5">
      <c r="B264" s="57"/>
      <c r="C264" s="105"/>
      <c r="D264" s="81"/>
      <c r="E264" s="81"/>
      <c r="F264" s="86"/>
      <c r="G264" s="57"/>
    </row>
    <row r="265" spans="2:7" ht="16.5">
      <c r="B265" s="57"/>
      <c r="C265" s="105"/>
      <c r="D265" s="81"/>
      <c r="E265" s="81"/>
      <c r="F265" s="86"/>
      <c r="G265" s="57"/>
    </row>
    <row r="266" spans="2:7" ht="16.5">
      <c r="B266" s="57"/>
      <c r="C266" s="105"/>
      <c r="D266" s="81"/>
      <c r="E266" s="81"/>
      <c r="F266" s="86"/>
      <c r="G266" s="57"/>
    </row>
    <row r="267" spans="2:7" ht="16.5">
      <c r="B267" s="57"/>
      <c r="C267" s="105"/>
      <c r="D267" s="81"/>
      <c r="E267" s="81"/>
      <c r="F267" s="86"/>
      <c r="G267" s="57"/>
    </row>
    <row r="268" spans="2:7" ht="16.5">
      <c r="B268" s="57"/>
      <c r="C268" s="105"/>
      <c r="D268" s="81"/>
      <c r="E268" s="81"/>
      <c r="F268" s="86"/>
      <c r="G268" s="57"/>
    </row>
    <row r="269" spans="2:7" ht="16.5">
      <c r="B269" s="57"/>
      <c r="C269" s="105"/>
      <c r="D269" s="81"/>
      <c r="E269" s="81"/>
      <c r="F269" s="86"/>
      <c r="G269" s="57"/>
    </row>
    <row r="270" spans="2:7" ht="16.5">
      <c r="B270" s="57"/>
      <c r="C270" s="105"/>
      <c r="D270" s="81"/>
      <c r="E270" s="81"/>
      <c r="F270" s="86"/>
      <c r="G270" s="57"/>
    </row>
    <row r="271" spans="2:7" ht="16.5">
      <c r="B271" s="57"/>
      <c r="C271" s="105"/>
      <c r="D271" s="81"/>
      <c r="E271" s="81"/>
      <c r="F271" s="86"/>
      <c r="G271" s="57"/>
    </row>
    <row r="272" spans="2:7" ht="16.5">
      <c r="B272" s="57"/>
      <c r="C272" s="105"/>
      <c r="D272" s="81"/>
      <c r="E272" s="81"/>
      <c r="F272" s="86"/>
      <c r="G272" s="57"/>
    </row>
    <row r="273" spans="2:7" ht="16.5">
      <c r="B273" s="57"/>
      <c r="C273" s="105"/>
      <c r="D273" s="81"/>
      <c r="E273" s="81"/>
      <c r="F273" s="86"/>
      <c r="G273" s="57"/>
    </row>
  </sheetData>
  <sheetProtection/>
  <mergeCells count="8">
    <mergeCell ref="C232:E232"/>
    <mergeCell ref="C233:E233"/>
    <mergeCell ref="B2:G2"/>
    <mergeCell ref="B3:G3"/>
    <mergeCell ref="B4:G4"/>
    <mergeCell ref="F7:G7"/>
    <mergeCell ref="C227:E227"/>
    <mergeCell ref="C228:E228"/>
  </mergeCells>
  <printOptions horizontalCentered="1"/>
  <pageMargins left="0.25" right="0.25" top="0.32" bottom="0.75" header="0.46" footer="0.3"/>
  <pageSetup horizontalDpi="300" verticalDpi="3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zoomScale="115" zoomScaleNormal="115" zoomScalePageLayoutView="0" workbookViewId="0" topLeftCell="A2">
      <pane ySplit="10" topLeftCell="A12" activePane="bottomLeft" state="frozen"/>
      <selection pane="topLeft" activeCell="A2" sqref="A2"/>
      <selection pane="bottomLeft" activeCell="H15" sqref="H15"/>
    </sheetView>
  </sheetViews>
  <sheetFormatPr defaultColWidth="8.88671875" defaultRowHeight="15"/>
  <cols>
    <col min="1" max="1" width="0.78125" style="373" customWidth="1"/>
    <col min="2" max="2" width="33.10546875" style="373" customWidth="1"/>
    <col min="3" max="3" width="5.21484375" style="373" customWidth="1"/>
    <col min="4" max="4" width="14.4453125" style="373" hidden="1" customWidth="1"/>
    <col min="5" max="5" width="12.6640625" style="373" customWidth="1"/>
    <col min="6" max="6" width="12.5546875" style="373" customWidth="1"/>
    <col min="7" max="7" width="12.88671875" style="373" customWidth="1"/>
    <col min="8" max="8" width="13.4453125" style="373" customWidth="1"/>
    <col min="9" max="9" width="4.4453125" style="373" customWidth="1"/>
    <col min="10" max="10" width="13.99609375" style="373" bestFit="1" customWidth="1"/>
    <col min="11" max="11" width="14.21484375" style="373" customWidth="1"/>
    <col min="12" max="16384" width="8.88671875" style="373" customWidth="1"/>
  </cols>
  <sheetData>
    <row r="1" spans="2:8" ht="12.75">
      <c r="B1" s="374"/>
      <c r="C1" s="374"/>
      <c r="D1" s="374"/>
      <c r="E1" s="374"/>
      <c r="F1" s="374"/>
      <c r="G1" s="374"/>
      <c r="H1" s="374" t="s">
        <v>479</v>
      </c>
    </row>
    <row r="2" spans="2:8" ht="12">
      <c r="B2" s="490" t="s">
        <v>589</v>
      </c>
      <c r="C2" s="490"/>
      <c r="D2" s="490"/>
      <c r="E2" s="490"/>
      <c r="F2" s="490"/>
      <c r="G2" s="490"/>
      <c r="H2" s="490"/>
    </row>
    <row r="3" spans="2:8" ht="12">
      <c r="B3" s="491" t="s">
        <v>197</v>
      </c>
      <c r="C3" s="491"/>
      <c r="D3" s="491"/>
      <c r="E3" s="491"/>
      <c r="F3" s="491"/>
      <c r="G3" s="491"/>
      <c r="H3" s="491"/>
    </row>
    <row r="4" spans="2:8" ht="12">
      <c r="B4" s="491" t="s">
        <v>198</v>
      </c>
      <c r="C4" s="491"/>
      <c r="D4" s="491"/>
      <c r="E4" s="491"/>
      <c r="F4" s="491"/>
      <c r="G4" s="491"/>
      <c r="H4" s="491"/>
    </row>
    <row r="5" spans="2:8" ht="12.75">
      <c r="B5" s="375"/>
      <c r="C5" s="376"/>
      <c r="D5" s="375"/>
      <c r="E5" s="375"/>
      <c r="F5" s="375"/>
      <c r="G5" s="375"/>
      <c r="H5" s="375"/>
    </row>
    <row r="6" spans="2:8" ht="12.75">
      <c r="B6" s="375"/>
      <c r="C6" s="376"/>
      <c r="D6" s="375"/>
      <c r="E6" s="375"/>
      <c r="F6" s="375"/>
      <c r="G6" s="375"/>
      <c r="H6" s="375"/>
    </row>
    <row r="7" spans="2:8" ht="13.5" thickBot="1">
      <c r="B7" s="375"/>
      <c r="C7" s="376"/>
      <c r="D7" s="375"/>
      <c r="E7" s="375"/>
      <c r="F7" s="435"/>
      <c r="G7" s="435"/>
      <c r="H7" s="435"/>
    </row>
    <row r="8" spans="2:8" ht="12.75">
      <c r="B8" s="377"/>
      <c r="C8" s="378"/>
      <c r="D8" s="379"/>
      <c r="E8" s="492" t="s">
        <v>480</v>
      </c>
      <c r="F8" s="494" t="s">
        <v>481</v>
      </c>
      <c r="G8" s="495"/>
      <c r="H8" s="496"/>
    </row>
    <row r="9" spans="2:8" ht="12.75">
      <c r="B9" s="380"/>
      <c r="C9" s="381"/>
      <c r="D9" s="375"/>
      <c r="E9" s="493"/>
      <c r="F9" s="381" t="s">
        <v>482</v>
      </c>
      <c r="G9" s="382" t="s">
        <v>483</v>
      </c>
      <c r="H9" s="381" t="s">
        <v>25</v>
      </c>
    </row>
    <row r="10" spans="2:8" ht="12.75">
      <c r="B10" s="383" t="s">
        <v>15</v>
      </c>
      <c r="C10" s="381" t="s">
        <v>17</v>
      </c>
      <c r="D10" s="376"/>
      <c r="E10" s="381">
        <v>2014</v>
      </c>
      <c r="F10" s="382">
        <v>2015</v>
      </c>
      <c r="G10" s="382">
        <v>2015</v>
      </c>
      <c r="H10" s="384">
        <v>2015</v>
      </c>
    </row>
    <row r="11" spans="2:9" ht="12.75">
      <c r="B11" s="385"/>
      <c r="C11" s="386"/>
      <c r="D11" s="387"/>
      <c r="E11" s="386" t="s">
        <v>155</v>
      </c>
      <c r="F11" s="382" t="s">
        <v>155</v>
      </c>
      <c r="G11" s="384" t="s">
        <v>372</v>
      </c>
      <c r="H11" s="384" t="s">
        <v>372</v>
      </c>
      <c r="I11" s="388"/>
    </row>
    <row r="12" spans="2:8" ht="12.75">
      <c r="B12" s="389" t="s">
        <v>484</v>
      </c>
      <c r="C12" s="390"/>
      <c r="D12" s="391"/>
      <c r="E12" s="392"/>
      <c r="F12" s="392"/>
      <c r="G12" s="392"/>
      <c r="H12" s="393">
        <v>21000000</v>
      </c>
    </row>
    <row r="13" spans="2:8" ht="12.75">
      <c r="B13" s="394" t="s">
        <v>26</v>
      </c>
      <c r="C13" s="395"/>
      <c r="D13" s="396"/>
      <c r="E13" s="397"/>
      <c r="F13" s="397"/>
      <c r="G13" s="397"/>
      <c r="H13" s="397"/>
    </row>
    <row r="14" spans="2:8" ht="12.75">
      <c r="B14" s="398"/>
      <c r="C14" s="395"/>
      <c r="D14" s="396"/>
      <c r="E14" s="397"/>
      <c r="F14" s="397"/>
      <c r="G14" s="397"/>
      <c r="H14" s="397"/>
    </row>
    <row r="15" spans="2:8" ht="12.75">
      <c r="B15" s="398" t="s">
        <v>27</v>
      </c>
      <c r="C15" s="395">
        <v>127</v>
      </c>
      <c r="D15" s="396"/>
      <c r="E15" s="399">
        <v>42775987.65</v>
      </c>
      <c r="F15" s="399">
        <v>27627845.66</v>
      </c>
      <c r="G15" s="399">
        <f>+H15-F15</f>
        <v>24872154.34</v>
      </c>
      <c r="H15" s="399">
        <v>52500000</v>
      </c>
    </row>
    <row r="16" spans="2:8" ht="12.75">
      <c r="B16" s="398" t="s">
        <v>28</v>
      </c>
      <c r="C16" s="395">
        <v>588</v>
      </c>
      <c r="D16" s="396"/>
      <c r="E16" s="399">
        <v>69417609.28</v>
      </c>
      <c r="F16" s="399">
        <v>12243628.24</v>
      </c>
      <c r="G16" s="399">
        <f>+H16-F16</f>
        <v>8756371.76</v>
      </c>
      <c r="H16" s="399">
        <v>21000000</v>
      </c>
    </row>
    <row r="17" spans="2:8" ht="12.75">
      <c r="B17" s="398" t="s">
        <v>29</v>
      </c>
      <c r="C17" s="395">
        <v>954</v>
      </c>
      <c r="D17" s="396"/>
      <c r="E17" s="399">
        <v>-549.25</v>
      </c>
      <c r="F17" s="399"/>
      <c r="G17" s="399">
        <f>+H17-F17</f>
        <v>-1500000</v>
      </c>
      <c r="H17" s="399">
        <v>-1500000</v>
      </c>
    </row>
    <row r="18" spans="2:8" ht="12.75">
      <c r="B18" s="398" t="s">
        <v>30</v>
      </c>
      <c r="C18" s="395">
        <v>599</v>
      </c>
      <c r="D18" s="396"/>
      <c r="E18" s="399">
        <v>5994119.85</v>
      </c>
      <c r="F18" s="399">
        <v>3069682.88</v>
      </c>
      <c r="G18" s="399">
        <f>+H18-F18</f>
        <v>1930317.12</v>
      </c>
      <c r="H18" s="399">
        <v>5000000</v>
      </c>
    </row>
    <row r="19" spans="2:8" ht="12.75">
      <c r="B19" s="398"/>
      <c r="C19" s="395"/>
      <c r="D19" s="396"/>
      <c r="E19" s="396"/>
      <c r="F19" s="396"/>
      <c r="G19" s="396"/>
      <c r="H19" s="396"/>
    </row>
    <row r="20" spans="2:8" ht="12.75">
      <c r="B20" s="394" t="s">
        <v>31</v>
      </c>
      <c r="C20" s="395"/>
      <c r="D20" s="396"/>
      <c r="E20" s="396"/>
      <c r="F20" s="396"/>
      <c r="G20" s="396"/>
      <c r="H20" s="396"/>
    </row>
    <row r="21" spans="2:8" ht="12.75">
      <c r="B21" s="398"/>
      <c r="C21" s="395"/>
      <c r="D21" s="396"/>
      <c r="E21" s="396"/>
      <c r="F21" s="396"/>
      <c r="G21" s="396"/>
      <c r="H21" s="396"/>
    </row>
    <row r="22" spans="2:8" ht="12.75">
      <c r="B22" s="398" t="s">
        <v>32</v>
      </c>
      <c r="C22" s="395">
        <v>564</v>
      </c>
      <c r="D22" s="396"/>
      <c r="E22" s="399">
        <v>176200</v>
      </c>
      <c r="F22" s="399">
        <v>168370</v>
      </c>
      <c r="G22" s="399">
        <f aca="true" t="shared" si="0" ref="G22:G31">+H22-F22</f>
        <v>31630</v>
      </c>
      <c r="H22" s="399">
        <v>200000</v>
      </c>
    </row>
    <row r="23" spans="2:8" ht="12.75">
      <c r="B23" s="398" t="s">
        <v>33</v>
      </c>
      <c r="C23" s="395">
        <v>581</v>
      </c>
      <c r="D23" s="396"/>
      <c r="E23" s="399">
        <v>7862985.37</v>
      </c>
      <c r="F23" s="399">
        <v>3673555.82</v>
      </c>
      <c r="G23" s="399">
        <f t="shared" si="0"/>
        <v>2326444.18</v>
      </c>
      <c r="H23" s="399">
        <v>6000000</v>
      </c>
    </row>
    <row r="24" spans="2:8" ht="12.75">
      <c r="B24" s="398" t="s">
        <v>35</v>
      </c>
      <c r="C24" s="395">
        <v>582</v>
      </c>
      <c r="D24" s="396"/>
      <c r="E24" s="399">
        <v>117904827.56</v>
      </c>
      <c r="F24" s="399">
        <v>102492071.74</v>
      </c>
      <c r="G24" s="399">
        <f t="shared" si="0"/>
        <v>12507928.260000005</v>
      </c>
      <c r="H24" s="399">
        <v>115000000</v>
      </c>
    </row>
    <row r="25" spans="2:8" ht="12.75">
      <c r="B25" s="398" t="s">
        <v>0</v>
      </c>
      <c r="C25" s="395">
        <v>583</v>
      </c>
      <c r="D25" s="396"/>
      <c r="E25" s="399">
        <v>6396193.36</v>
      </c>
      <c r="F25" s="399">
        <v>5979110.79</v>
      </c>
      <c r="G25" s="399">
        <f t="shared" si="0"/>
        <v>1020889.21</v>
      </c>
      <c r="H25" s="399">
        <v>7000000</v>
      </c>
    </row>
    <row r="26" spans="2:8" ht="12.75">
      <c r="B26" s="398" t="s">
        <v>59</v>
      </c>
      <c r="C26" s="395">
        <v>584</v>
      </c>
      <c r="D26" s="396"/>
      <c r="E26" s="399">
        <v>1756111.5</v>
      </c>
      <c r="F26" s="399">
        <v>1351026.13</v>
      </c>
      <c r="G26" s="399">
        <f t="shared" si="0"/>
        <v>148973.8700000001</v>
      </c>
      <c r="H26" s="399">
        <v>1500000</v>
      </c>
    </row>
    <row r="27" spans="2:8" ht="12.75">
      <c r="B27" s="398" t="s">
        <v>60</v>
      </c>
      <c r="C27" s="395">
        <v>585</v>
      </c>
      <c r="D27" s="396"/>
      <c r="E27" s="399">
        <v>23690</v>
      </c>
      <c r="F27" s="399">
        <v>28030</v>
      </c>
      <c r="G27" s="399">
        <f t="shared" si="0"/>
        <v>21970</v>
      </c>
      <c r="H27" s="399">
        <v>50000</v>
      </c>
    </row>
    <row r="28" spans="2:8" ht="12.75">
      <c r="B28" s="398" t="s">
        <v>61</v>
      </c>
      <c r="C28" s="395">
        <v>586</v>
      </c>
      <c r="D28" s="396"/>
      <c r="E28" s="399">
        <v>81320.94</v>
      </c>
      <c r="F28" s="399">
        <v>76429.43</v>
      </c>
      <c r="G28" s="399">
        <f t="shared" si="0"/>
        <v>23570.570000000007</v>
      </c>
      <c r="H28" s="399">
        <v>100000</v>
      </c>
    </row>
    <row r="29" spans="2:8" ht="12.75">
      <c r="B29" s="398" t="s">
        <v>1</v>
      </c>
      <c r="C29" s="395">
        <v>587</v>
      </c>
      <c r="D29" s="396"/>
      <c r="E29" s="399">
        <v>7964248.52</v>
      </c>
      <c r="F29" s="399">
        <v>3104647.65</v>
      </c>
      <c r="G29" s="399">
        <f t="shared" si="0"/>
        <v>2895352.35</v>
      </c>
      <c r="H29" s="399">
        <v>6000000</v>
      </c>
    </row>
    <row r="30" spans="2:8" ht="12.75">
      <c r="B30" s="398" t="s">
        <v>2</v>
      </c>
      <c r="C30" s="395">
        <v>592</v>
      </c>
      <c r="D30" s="396"/>
      <c r="E30" s="399">
        <v>273390</v>
      </c>
      <c r="F30" s="399">
        <v>339360</v>
      </c>
      <c r="G30" s="399">
        <f t="shared" si="0"/>
        <v>60640</v>
      </c>
      <c r="H30" s="399">
        <v>400000</v>
      </c>
    </row>
    <row r="31" spans="2:8" ht="12.75">
      <c r="B31" s="398" t="s">
        <v>62</v>
      </c>
      <c r="C31" s="395">
        <v>593</v>
      </c>
      <c r="D31" s="396"/>
      <c r="E31" s="399">
        <v>3678285.41</v>
      </c>
      <c r="F31" s="399">
        <v>2670107.66</v>
      </c>
      <c r="G31" s="399">
        <f t="shared" si="0"/>
        <v>1329892.3399999999</v>
      </c>
      <c r="H31" s="399">
        <v>4000000</v>
      </c>
    </row>
    <row r="32" spans="2:8" ht="12.75" hidden="1">
      <c r="B32" s="398" t="s">
        <v>180</v>
      </c>
      <c r="C32" s="395" t="s">
        <v>165</v>
      </c>
      <c r="D32" s="396"/>
      <c r="E32" s="399"/>
      <c r="F32" s="399"/>
      <c r="G32" s="399"/>
      <c r="H32" s="399"/>
    </row>
    <row r="33" spans="2:8" ht="12.75">
      <c r="B33" s="398" t="s">
        <v>187</v>
      </c>
      <c r="C33" s="395">
        <v>599</v>
      </c>
      <c r="D33" s="396"/>
      <c r="E33" s="399">
        <v>1350</v>
      </c>
      <c r="F33" s="399"/>
      <c r="G33" s="399">
        <f aca="true" t="shared" si="1" ref="G33:G43">+H33-F33</f>
        <v>50000</v>
      </c>
      <c r="H33" s="399">
        <v>50000</v>
      </c>
    </row>
    <row r="34" spans="2:8" ht="12.75">
      <c r="B34" s="398" t="s">
        <v>188</v>
      </c>
      <c r="C34" s="395">
        <v>601</v>
      </c>
      <c r="D34" s="396"/>
      <c r="E34" s="399">
        <v>394085</v>
      </c>
      <c r="F34" s="399">
        <v>275733.06</v>
      </c>
      <c r="G34" s="399">
        <f t="shared" si="1"/>
        <v>24266.940000000002</v>
      </c>
      <c r="H34" s="399">
        <v>300000</v>
      </c>
    </row>
    <row r="35" spans="2:8" ht="12.75">
      <c r="B35" s="398" t="s">
        <v>65</v>
      </c>
      <c r="C35" s="395">
        <v>605</v>
      </c>
      <c r="D35" s="396"/>
      <c r="E35" s="399">
        <v>24233540.18</v>
      </c>
      <c r="F35" s="399">
        <v>17260787.85</v>
      </c>
      <c r="G35" s="399">
        <f t="shared" si="1"/>
        <v>2739212.1499999985</v>
      </c>
      <c r="H35" s="399">
        <v>20000000</v>
      </c>
    </row>
    <row r="36" spans="2:8" ht="12.75">
      <c r="B36" s="398" t="s">
        <v>4</v>
      </c>
      <c r="C36" s="395">
        <v>606</v>
      </c>
      <c r="D36" s="396"/>
      <c r="E36" s="399">
        <v>88390</v>
      </c>
      <c r="F36" s="399">
        <v>88755</v>
      </c>
      <c r="G36" s="399">
        <f t="shared" si="1"/>
        <v>211245</v>
      </c>
      <c r="H36" s="399">
        <v>300000</v>
      </c>
    </row>
    <row r="37" spans="2:8" ht="12.75">
      <c r="B37" s="398" t="s">
        <v>189</v>
      </c>
      <c r="C37" s="395">
        <v>609</v>
      </c>
      <c r="D37" s="396"/>
      <c r="E37" s="399">
        <v>4479906.2</v>
      </c>
      <c r="F37" s="399">
        <v>718443.92</v>
      </c>
      <c r="G37" s="399">
        <f t="shared" si="1"/>
        <v>781556.08</v>
      </c>
      <c r="H37" s="399">
        <v>1500000</v>
      </c>
    </row>
    <row r="38" spans="2:8" ht="12.75">
      <c r="B38" s="398" t="s">
        <v>74</v>
      </c>
      <c r="C38" s="395">
        <v>613</v>
      </c>
      <c r="D38" s="396"/>
      <c r="E38" s="399">
        <v>6194939.85</v>
      </c>
      <c r="F38" s="399">
        <v>4865988.18</v>
      </c>
      <c r="G38" s="399">
        <f t="shared" si="1"/>
        <v>134011.8200000003</v>
      </c>
      <c r="H38" s="399">
        <v>5000000</v>
      </c>
    </row>
    <row r="39" spans="2:8" ht="12.75">
      <c r="B39" s="398" t="s">
        <v>6</v>
      </c>
      <c r="C39" s="395">
        <v>616</v>
      </c>
      <c r="D39" s="396"/>
      <c r="E39" s="399">
        <v>6008690</v>
      </c>
      <c r="F39" s="399">
        <v>5519620</v>
      </c>
      <c r="G39" s="399">
        <f t="shared" si="1"/>
        <v>980380</v>
      </c>
      <c r="H39" s="399">
        <v>6500000</v>
      </c>
    </row>
    <row r="40" spans="2:8" ht="12.75">
      <c r="B40" s="398" t="s">
        <v>7</v>
      </c>
      <c r="C40" s="395">
        <v>617</v>
      </c>
      <c r="D40" s="396"/>
      <c r="E40" s="399">
        <v>10900</v>
      </c>
      <c r="F40" s="399">
        <v>29601</v>
      </c>
      <c r="G40" s="399">
        <f t="shared" si="1"/>
        <v>470399</v>
      </c>
      <c r="H40" s="399">
        <v>500000</v>
      </c>
    </row>
    <row r="41" spans="2:8" ht="12.75">
      <c r="B41" s="398" t="s">
        <v>8</v>
      </c>
      <c r="C41" s="395">
        <v>619</v>
      </c>
      <c r="D41" s="396"/>
      <c r="E41" s="399">
        <v>1912817.13</v>
      </c>
      <c r="F41" s="399">
        <v>2206739.75</v>
      </c>
      <c r="G41" s="399">
        <f t="shared" si="1"/>
        <v>293260.25</v>
      </c>
      <c r="H41" s="399">
        <v>2500000</v>
      </c>
    </row>
    <row r="42" spans="2:8" ht="12.75">
      <c r="B42" s="398" t="s">
        <v>9</v>
      </c>
      <c r="C42" s="395">
        <v>623</v>
      </c>
      <c r="D42" s="396"/>
      <c r="E42" s="399">
        <v>5628808.04</v>
      </c>
      <c r="F42" s="399">
        <v>3443438.47</v>
      </c>
      <c r="G42" s="399">
        <f t="shared" si="1"/>
        <v>3056561.53</v>
      </c>
      <c r="H42" s="399">
        <v>6500000</v>
      </c>
    </row>
    <row r="43" spans="2:8" ht="12.75">
      <c r="B43" s="398" t="s">
        <v>180</v>
      </c>
      <c r="C43" s="395">
        <v>628</v>
      </c>
      <c r="D43" s="396"/>
      <c r="E43" s="399">
        <v>1613850.74</v>
      </c>
      <c r="F43" s="399">
        <v>1512055.92</v>
      </c>
      <c r="G43" s="399">
        <f t="shared" si="1"/>
        <v>-1312055.92</v>
      </c>
      <c r="H43" s="399">
        <v>200000</v>
      </c>
    </row>
    <row r="44" spans="2:8" ht="12.75" hidden="1">
      <c r="B44" s="398" t="s">
        <v>201</v>
      </c>
      <c r="C44" s="395">
        <v>629</v>
      </c>
      <c r="D44" s="396"/>
      <c r="E44" s="399"/>
      <c r="F44" s="399"/>
      <c r="G44" s="399"/>
      <c r="H44" s="399">
        <v>0</v>
      </c>
    </row>
    <row r="45" spans="2:8" ht="12.75">
      <c r="B45" s="398" t="s">
        <v>75</v>
      </c>
      <c r="C45" s="395">
        <v>636</v>
      </c>
      <c r="D45" s="396"/>
      <c r="E45" s="399">
        <v>18525</v>
      </c>
      <c r="F45" s="399">
        <v>190</v>
      </c>
      <c r="G45" s="399">
        <f aca="true" t="shared" si="2" ref="G45:G51">+H45-F45</f>
        <v>3499810</v>
      </c>
      <c r="H45" s="399">
        <v>3500000</v>
      </c>
    </row>
    <row r="46" spans="2:8" ht="12.75">
      <c r="B46" s="398" t="s">
        <v>78</v>
      </c>
      <c r="C46" s="395">
        <v>637</v>
      </c>
      <c r="D46" s="396"/>
      <c r="E46" s="399">
        <v>1030912.61</v>
      </c>
      <c r="F46" s="399">
        <v>242574.89</v>
      </c>
      <c r="G46" s="399">
        <f t="shared" si="2"/>
        <v>-242574.89</v>
      </c>
      <c r="H46" s="399">
        <v>0</v>
      </c>
    </row>
    <row r="47" spans="2:8" ht="12.75">
      <c r="B47" s="400" t="s">
        <v>134</v>
      </c>
      <c r="C47" s="395">
        <v>638</v>
      </c>
      <c r="D47" s="396"/>
      <c r="E47" s="399">
        <v>1752030</v>
      </c>
      <c r="F47" s="399">
        <v>2967110</v>
      </c>
      <c r="G47" s="399">
        <f t="shared" si="2"/>
        <v>1032890</v>
      </c>
      <c r="H47" s="399">
        <v>4000000</v>
      </c>
    </row>
    <row r="48" spans="2:8" ht="12.75">
      <c r="B48" s="400" t="s">
        <v>10</v>
      </c>
      <c r="C48" s="395">
        <v>642</v>
      </c>
      <c r="D48" s="396"/>
      <c r="E48" s="399"/>
      <c r="F48" s="399">
        <v>2684186.35</v>
      </c>
      <c r="G48" s="399">
        <f t="shared" si="2"/>
        <v>-2684186.35</v>
      </c>
      <c r="H48" s="399">
        <v>0</v>
      </c>
    </row>
    <row r="49" spans="2:8" ht="12.75">
      <c r="B49" s="400" t="s">
        <v>428</v>
      </c>
      <c r="C49" s="395" t="s">
        <v>131</v>
      </c>
      <c r="D49" s="396"/>
      <c r="E49" s="399">
        <v>434204.5</v>
      </c>
      <c r="F49" s="399">
        <v>350853.01</v>
      </c>
      <c r="G49" s="399">
        <f t="shared" si="2"/>
        <v>-50853.01000000001</v>
      </c>
      <c r="H49" s="399">
        <v>300000</v>
      </c>
    </row>
    <row r="50" spans="2:8" ht="12.75">
      <c r="B50" s="400" t="s">
        <v>85</v>
      </c>
      <c r="C50" s="395" t="s">
        <v>132</v>
      </c>
      <c r="D50" s="396"/>
      <c r="E50" s="399">
        <v>5283175.5</v>
      </c>
      <c r="F50" s="399">
        <v>3152146</v>
      </c>
      <c r="G50" s="399">
        <f t="shared" si="2"/>
        <v>1847854</v>
      </c>
      <c r="H50" s="399">
        <v>5000000</v>
      </c>
    </row>
    <row r="51" spans="2:8" ht="12.75">
      <c r="B51" s="400" t="s">
        <v>485</v>
      </c>
      <c r="C51" s="395" t="s">
        <v>133</v>
      </c>
      <c r="D51" s="396"/>
      <c r="E51" s="399"/>
      <c r="F51" s="399">
        <v>42982.79</v>
      </c>
      <c r="G51" s="399">
        <f t="shared" si="2"/>
        <v>257017.21</v>
      </c>
      <c r="H51" s="399">
        <v>300000</v>
      </c>
    </row>
    <row r="52" spans="2:8" ht="12.75">
      <c r="B52" s="400" t="s">
        <v>178</v>
      </c>
      <c r="C52" s="395" t="s">
        <v>176</v>
      </c>
      <c r="D52" s="396"/>
      <c r="E52" s="399">
        <v>299288.24</v>
      </c>
      <c r="F52" s="399"/>
      <c r="G52" s="399"/>
      <c r="H52" s="399">
        <v>0</v>
      </c>
    </row>
    <row r="53" spans="2:8" ht="12.75">
      <c r="B53" s="400" t="s">
        <v>431</v>
      </c>
      <c r="C53" s="395" t="s">
        <v>179</v>
      </c>
      <c r="D53" s="396"/>
      <c r="E53" s="399">
        <v>64836</v>
      </c>
      <c r="F53" s="399">
        <v>43180</v>
      </c>
      <c r="G53" s="399">
        <f>+H53-F53</f>
        <v>6820</v>
      </c>
      <c r="H53" s="399">
        <v>50000</v>
      </c>
    </row>
    <row r="54" spans="2:8" ht="12.75">
      <c r="B54" s="400" t="s">
        <v>432</v>
      </c>
      <c r="C54" s="395" t="s">
        <v>194</v>
      </c>
      <c r="D54" s="396"/>
      <c r="E54" s="399">
        <v>2335553.36</v>
      </c>
      <c r="F54" s="399">
        <v>2362473.34</v>
      </c>
      <c r="G54" s="399">
        <f>+H54-F54</f>
        <v>-2362473.34</v>
      </c>
      <c r="H54" s="399">
        <v>0</v>
      </c>
    </row>
    <row r="55" spans="2:8" ht="12.75">
      <c r="B55" s="400" t="s">
        <v>433</v>
      </c>
      <c r="C55" s="395" t="s">
        <v>376</v>
      </c>
      <c r="D55" s="396"/>
      <c r="E55" s="399">
        <v>270</v>
      </c>
      <c r="F55" s="399"/>
      <c r="G55" s="399"/>
      <c r="H55" s="399"/>
    </row>
    <row r="56" spans="2:8" ht="12.75" hidden="1">
      <c r="B56" s="400" t="s">
        <v>486</v>
      </c>
      <c r="C56" s="395" t="s">
        <v>487</v>
      </c>
      <c r="D56" s="396"/>
      <c r="E56" s="399"/>
      <c r="F56" s="399"/>
      <c r="G56" s="399"/>
      <c r="H56" s="399"/>
    </row>
    <row r="57" spans="2:8" ht="12.75">
      <c r="B57" s="400" t="s">
        <v>163</v>
      </c>
      <c r="C57" s="395">
        <v>648</v>
      </c>
      <c r="D57" s="396"/>
      <c r="E57" s="399"/>
      <c r="F57" s="399">
        <v>5900</v>
      </c>
      <c r="G57" s="399">
        <f>+H57-F57</f>
        <v>-5900</v>
      </c>
      <c r="H57" s="399"/>
    </row>
    <row r="58" spans="2:8" ht="12.75">
      <c r="B58" s="400" t="s">
        <v>434</v>
      </c>
      <c r="C58" s="395" t="s">
        <v>191</v>
      </c>
      <c r="D58" s="396"/>
      <c r="E58" s="399">
        <v>2466565.22</v>
      </c>
      <c r="F58" s="399">
        <v>1066100.38</v>
      </c>
      <c r="G58" s="399">
        <f>+H58-F58</f>
        <v>433899.6200000001</v>
      </c>
      <c r="H58" s="399">
        <v>1500000</v>
      </c>
    </row>
    <row r="59" spans="2:8" ht="12.75">
      <c r="B59" s="400" t="s">
        <v>435</v>
      </c>
      <c r="C59" s="395" t="s">
        <v>167</v>
      </c>
      <c r="D59" s="396"/>
      <c r="E59" s="399"/>
      <c r="F59" s="399"/>
      <c r="G59" s="399"/>
      <c r="H59" s="399"/>
    </row>
    <row r="60" spans="2:8" ht="12.75">
      <c r="B60" s="400" t="s">
        <v>436</v>
      </c>
      <c r="C60" s="395" t="s">
        <v>184</v>
      </c>
      <c r="D60" s="396"/>
      <c r="E60" s="399">
        <v>47117233.23</v>
      </c>
      <c r="F60" s="399">
        <v>31451305</v>
      </c>
      <c r="G60" s="399">
        <f>+H60-F60</f>
        <v>15548695</v>
      </c>
      <c r="H60" s="399">
        <v>47000000</v>
      </c>
    </row>
    <row r="61" spans="2:8" ht="12.75">
      <c r="B61" s="400" t="s">
        <v>437</v>
      </c>
      <c r="C61" s="395" t="s">
        <v>169</v>
      </c>
      <c r="D61" s="396"/>
      <c r="E61" s="399">
        <v>13037629.94</v>
      </c>
      <c r="F61" s="399">
        <v>9927880</v>
      </c>
      <c r="G61" s="399">
        <f>+H61-F61</f>
        <v>2072120</v>
      </c>
      <c r="H61" s="399">
        <v>12000000</v>
      </c>
    </row>
    <row r="62" spans="2:11" ht="12.75">
      <c r="B62" s="400" t="s">
        <v>438</v>
      </c>
      <c r="C62" s="395" t="s">
        <v>182</v>
      </c>
      <c r="D62" s="396"/>
      <c r="E62" s="399">
        <v>2913209.06</v>
      </c>
      <c r="F62" s="399">
        <v>1119979.33</v>
      </c>
      <c r="G62" s="399">
        <f>+H62-F62</f>
        <v>1380020.67</v>
      </c>
      <c r="H62" s="399">
        <v>2500000</v>
      </c>
      <c r="K62" s="425"/>
    </row>
    <row r="63" spans="2:11" ht="12.75" hidden="1">
      <c r="B63" s="400" t="s">
        <v>488</v>
      </c>
      <c r="C63" s="395"/>
      <c r="D63" s="396"/>
      <c r="E63" s="399"/>
      <c r="F63" s="399"/>
      <c r="G63" s="399"/>
      <c r="H63" s="399"/>
      <c r="K63" s="425"/>
    </row>
    <row r="64" spans="2:8" ht="12.75">
      <c r="B64" s="400" t="s">
        <v>439</v>
      </c>
      <c r="C64" s="395" t="s">
        <v>192</v>
      </c>
      <c r="D64" s="396"/>
      <c r="E64" s="399">
        <v>1114028.99</v>
      </c>
      <c r="F64" s="399">
        <v>408158.6</v>
      </c>
      <c r="G64" s="399">
        <f>+H64-F64</f>
        <v>391841.4</v>
      </c>
      <c r="H64" s="399">
        <v>800000</v>
      </c>
    </row>
    <row r="65" spans="2:8" ht="12.75">
      <c r="B65" s="400" t="s">
        <v>440</v>
      </c>
      <c r="C65" s="395" t="s">
        <v>170</v>
      </c>
      <c r="D65" s="396"/>
      <c r="E65" s="399"/>
      <c r="F65" s="399"/>
      <c r="G65" s="399">
        <f>+H65-F65</f>
        <v>50000</v>
      </c>
      <c r="H65" s="399">
        <v>50000</v>
      </c>
    </row>
    <row r="66" spans="2:8" ht="12.75">
      <c r="B66" s="400" t="s">
        <v>489</v>
      </c>
      <c r="C66" s="395" t="s">
        <v>171</v>
      </c>
      <c r="D66" s="396"/>
      <c r="E66" s="399"/>
      <c r="F66" s="399">
        <v>2550</v>
      </c>
      <c r="G66" s="399">
        <f>+H66-F66</f>
        <v>-2550</v>
      </c>
      <c r="H66" s="399"/>
    </row>
    <row r="67" spans="2:8" ht="12.75">
      <c r="B67" s="400" t="s">
        <v>195</v>
      </c>
      <c r="C67" s="395">
        <v>649</v>
      </c>
      <c r="D67" s="396"/>
      <c r="E67" s="399">
        <v>3460870</v>
      </c>
      <c r="F67" s="399">
        <v>1368980</v>
      </c>
      <c r="G67" s="399">
        <f>+H67-F67</f>
        <v>631020</v>
      </c>
      <c r="H67" s="399">
        <v>2000000</v>
      </c>
    </row>
    <row r="68" spans="2:8" ht="12.75">
      <c r="B68" s="400" t="s">
        <v>11</v>
      </c>
      <c r="C68" s="395">
        <v>662</v>
      </c>
      <c r="D68" s="396"/>
      <c r="E68" s="399"/>
      <c r="F68" s="399"/>
      <c r="G68" s="399"/>
      <c r="H68" s="399"/>
    </row>
    <row r="69" spans="2:8" ht="12.75">
      <c r="B69" s="400" t="s">
        <v>12</v>
      </c>
      <c r="C69" s="395">
        <v>664</v>
      </c>
      <c r="D69" s="396"/>
      <c r="E69" s="399">
        <v>624232.85</v>
      </c>
      <c r="F69" s="399">
        <v>195357.98</v>
      </c>
      <c r="G69" s="399">
        <f>+H69-F69</f>
        <v>304642.02</v>
      </c>
      <c r="H69" s="399">
        <v>500000</v>
      </c>
    </row>
    <row r="70" spans="2:8" ht="12.75">
      <c r="B70" s="400" t="s">
        <v>13</v>
      </c>
      <c r="C70" s="395">
        <v>665</v>
      </c>
      <c r="D70" s="396"/>
      <c r="E70" s="399">
        <v>1544434539</v>
      </c>
      <c r="F70" s="399">
        <v>883311024</v>
      </c>
      <c r="G70" s="399">
        <f>+H70-F70</f>
        <v>876688976</v>
      </c>
      <c r="H70" s="399">
        <v>1760000000</v>
      </c>
    </row>
    <row r="71" spans="2:8" ht="12.75">
      <c r="B71" s="400" t="s">
        <v>13</v>
      </c>
      <c r="C71" s="395">
        <v>665</v>
      </c>
      <c r="D71" s="396"/>
      <c r="E71" s="399">
        <v>11508099</v>
      </c>
      <c r="F71" s="399"/>
      <c r="G71" s="399"/>
      <c r="H71" s="399"/>
    </row>
    <row r="72" spans="2:8" ht="12.75">
      <c r="B72" s="400" t="s">
        <v>14</v>
      </c>
      <c r="C72" s="395">
        <v>670</v>
      </c>
      <c r="D72" s="396"/>
      <c r="E72" s="399">
        <v>1907222.55</v>
      </c>
      <c r="F72" s="399"/>
      <c r="G72" s="399"/>
      <c r="H72" s="399"/>
    </row>
    <row r="73" spans="2:8" ht="12.75">
      <c r="B73" s="400" t="s">
        <v>216</v>
      </c>
      <c r="C73" s="395">
        <v>672</v>
      </c>
      <c r="D73" s="396"/>
      <c r="E73" s="399">
        <v>326867.03</v>
      </c>
      <c r="F73" s="399"/>
      <c r="G73" s="399">
        <f>+H73-F73</f>
        <v>1000000</v>
      </c>
      <c r="H73" s="399">
        <v>1000000</v>
      </c>
    </row>
    <row r="74" spans="2:8" ht="12.75">
      <c r="B74" s="400" t="s">
        <v>164</v>
      </c>
      <c r="C74" s="395">
        <v>678</v>
      </c>
      <c r="D74" s="396"/>
      <c r="E74" s="399"/>
      <c r="F74" s="399"/>
      <c r="G74" s="399">
        <f>+H74-F74</f>
        <v>500000</v>
      </c>
      <c r="H74" s="399">
        <v>500000</v>
      </c>
    </row>
    <row r="75" spans="2:8" ht="12.75">
      <c r="B75" s="400" t="s">
        <v>354</v>
      </c>
      <c r="C75" s="395" t="s">
        <v>355</v>
      </c>
      <c r="D75" s="396"/>
      <c r="E75" s="399"/>
      <c r="F75" s="399"/>
      <c r="G75" s="399"/>
      <c r="H75" s="399"/>
    </row>
    <row r="76" spans="2:8" ht="12.75">
      <c r="B76" s="400" t="s">
        <v>359</v>
      </c>
      <c r="C76" s="395" t="s">
        <v>356</v>
      </c>
      <c r="D76" s="396"/>
      <c r="E76" s="399"/>
      <c r="F76" s="399"/>
      <c r="G76" s="399"/>
      <c r="H76" s="399"/>
    </row>
    <row r="77" spans="2:8" ht="12.75">
      <c r="B77" s="400" t="s">
        <v>360</v>
      </c>
      <c r="C77" s="395" t="s">
        <v>357</v>
      </c>
      <c r="D77" s="396"/>
      <c r="E77" s="399">
        <v>5843</v>
      </c>
      <c r="F77" s="399"/>
      <c r="G77" s="399"/>
      <c r="H77" s="399"/>
    </row>
    <row r="78" spans="2:8" ht="12.75">
      <c r="B78" s="400" t="s">
        <v>361</v>
      </c>
      <c r="C78" s="395" t="s">
        <v>358</v>
      </c>
      <c r="D78" s="396"/>
      <c r="E78" s="399"/>
      <c r="F78" s="399"/>
      <c r="G78" s="399"/>
      <c r="H78" s="399"/>
    </row>
    <row r="79" spans="2:8" ht="13.5" thickBot="1">
      <c r="B79" s="400" t="s">
        <v>186</v>
      </c>
      <c r="C79" s="395"/>
      <c r="D79" s="396"/>
      <c r="E79" s="401"/>
      <c r="F79" s="401"/>
      <c r="G79" s="402"/>
      <c r="H79" s="401"/>
    </row>
    <row r="80" spans="2:8" ht="13.5" thickBot="1">
      <c r="B80" s="403" t="s">
        <v>217</v>
      </c>
      <c r="C80" s="404"/>
      <c r="D80" s="401"/>
      <c r="E80" s="405">
        <f>SUM(E15:E79)</f>
        <v>1955006832.41</v>
      </c>
      <c r="F80" s="405">
        <f>SUM(F15:F79)</f>
        <v>1139447960.82</v>
      </c>
      <c r="G80" s="405">
        <f>SUM(G15:G79)</f>
        <v>962152039.1800001</v>
      </c>
      <c r="H80" s="405">
        <f>SUM(H15:H79)</f>
        <v>2101600000</v>
      </c>
    </row>
    <row r="81" spans="2:8" ht="13.5" thickBot="1">
      <c r="B81" s="421" t="s">
        <v>588</v>
      </c>
      <c r="C81" s="422"/>
      <c r="D81" s="423"/>
      <c r="E81" s="424"/>
      <c r="F81" s="424"/>
      <c r="G81" s="424"/>
      <c r="H81" s="424">
        <f>+H80+H12</f>
        <v>2122600000</v>
      </c>
    </row>
    <row r="82" spans="2:8" ht="12.75">
      <c r="B82" s="420"/>
      <c r="C82" s="412"/>
      <c r="D82" s="407"/>
      <c r="E82" s="408"/>
      <c r="F82" s="408"/>
      <c r="G82" s="408"/>
      <c r="H82" s="408"/>
    </row>
    <row r="83" spans="2:8" ht="12.75">
      <c r="B83" s="394" t="s">
        <v>218</v>
      </c>
      <c r="C83" s="395"/>
      <c r="D83" s="396"/>
      <c r="E83" s="399"/>
      <c r="F83" s="399"/>
      <c r="G83" s="399"/>
      <c r="H83" s="399"/>
    </row>
    <row r="84" spans="2:8" ht="12.75">
      <c r="B84" s="406" t="s">
        <v>490</v>
      </c>
      <c r="C84" s="395"/>
      <c r="D84" s="396"/>
      <c r="E84" s="399"/>
      <c r="F84" s="399"/>
      <c r="G84" s="399"/>
      <c r="H84" s="399"/>
    </row>
    <row r="85" spans="2:8" ht="12.75">
      <c r="B85" s="406" t="s">
        <v>491</v>
      </c>
      <c r="C85" s="395"/>
      <c r="D85" s="396"/>
      <c r="E85" s="399"/>
      <c r="F85" s="399"/>
      <c r="G85" s="399"/>
      <c r="H85" s="399"/>
    </row>
    <row r="86" spans="2:8" ht="12.75">
      <c r="B86" s="400" t="s">
        <v>492</v>
      </c>
      <c r="C86" s="395">
        <v>701</v>
      </c>
      <c r="D86" s="396"/>
      <c r="E86" s="399">
        <v>217312493.88</v>
      </c>
      <c r="F86" s="399">
        <v>111291452.13</v>
      </c>
      <c r="G86" s="399">
        <f aca="true" t="shared" si="3" ref="G86:G92">+H86-F86</f>
        <v>160099815.87</v>
      </c>
      <c r="H86" s="399">
        <v>271391268</v>
      </c>
    </row>
    <row r="87" spans="2:8" ht="12.75">
      <c r="B87" s="400" t="s">
        <v>493</v>
      </c>
      <c r="C87" s="395">
        <v>711</v>
      </c>
      <c r="D87" s="396"/>
      <c r="E87" s="399">
        <v>20522082.03</v>
      </c>
      <c r="F87" s="399">
        <v>10483523.89</v>
      </c>
      <c r="G87" s="399">
        <f t="shared" si="3"/>
        <v>15196476.11</v>
      </c>
      <c r="H87" s="399">
        <v>25680000</v>
      </c>
    </row>
    <row r="88" spans="2:8" ht="12.75">
      <c r="B88" s="400" t="s">
        <v>494</v>
      </c>
      <c r="C88" s="395">
        <v>713</v>
      </c>
      <c r="D88" s="396"/>
      <c r="E88" s="399">
        <v>4543447.61</v>
      </c>
      <c r="F88" s="399">
        <v>1977963.19</v>
      </c>
      <c r="G88" s="399">
        <f t="shared" si="3"/>
        <v>3080036.81</v>
      </c>
      <c r="H88" s="399">
        <v>5058000</v>
      </c>
    </row>
    <row r="89" spans="2:8" ht="12.75">
      <c r="B89" s="400" t="s">
        <v>495</v>
      </c>
      <c r="C89" s="395">
        <v>714</v>
      </c>
      <c r="D89" s="396"/>
      <c r="E89" s="399">
        <v>1441056.88</v>
      </c>
      <c r="F89" s="399">
        <v>678136.35</v>
      </c>
      <c r="G89" s="399">
        <f t="shared" si="3"/>
        <v>1271863.65</v>
      </c>
      <c r="H89" s="399">
        <v>1950000</v>
      </c>
    </row>
    <row r="90" spans="2:8" ht="12.75">
      <c r="B90" s="400" t="s">
        <v>496</v>
      </c>
      <c r="C90" s="395">
        <v>715</v>
      </c>
      <c r="D90" s="396"/>
      <c r="E90" s="399">
        <v>4315000</v>
      </c>
      <c r="F90" s="399">
        <v>5000</v>
      </c>
      <c r="G90" s="399">
        <f t="shared" si="3"/>
        <v>5345000</v>
      </c>
      <c r="H90" s="399">
        <v>5350000</v>
      </c>
    </row>
    <row r="91" spans="2:8" ht="12.75">
      <c r="B91" s="400" t="s">
        <v>497</v>
      </c>
      <c r="C91" s="395">
        <v>716</v>
      </c>
      <c r="D91" s="396"/>
      <c r="E91" s="399">
        <v>187925</v>
      </c>
      <c r="F91" s="399">
        <v>71625</v>
      </c>
      <c r="G91" s="399">
        <f t="shared" si="3"/>
        <v>162375</v>
      </c>
      <c r="H91" s="399">
        <v>234000</v>
      </c>
    </row>
    <row r="92" spans="2:8" ht="12.75">
      <c r="B92" s="400" t="s">
        <v>498</v>
      </c>
      <c r="C92" s="395">
        <v>717</v>
      </c>
      <c r="D92" s="396"/>
      <c r="E92" s="399">
        <v>1582000</v>
      </c>
      <c r="F92" s="399">
        <v>1516000</v>
      </c>
      <c r="G92" s="399">
        <f t="shared" si="3"/>
        <v>624000</v>
      </c>
      <c r="H92" s="399">
        <v>2140000</v>
      </c>
    </row>
    <row r="93" spans="2:8" ht="12.75">
      <c r="B93" s="400" t="s">
        <v>585</v>
      </c>
      <c r="C93" s="395" t="s">
        <v>473</v>
      </c>
      <c r="D93" s="396"/>
      <c r="E93" s="399">
        <v>12972000</v>
      </c>
      <c r="F93" s="399"/>
      <c r="G93" s="399"/>
      <c r="H93" s="399"/>
    </row>
    <row r="94" spans="2:8" ht="12.75">
      <c r="B94" s="400" t="s">
        <v>499</v>
      </c>
      <c r="C94" s="395">
        <v>720</v>
      </c>
      <c r="D94" s="396"/>
      <c r="E94" s="399">
        <v>497000</v>
      </c>
      <c r="F94" s="399">
        <v>160000</v>
      </c>
      <c r="G94" s="399">
        <f>+H94-F94</f>
        <v>416000</v>
      </c>
      <c r="H94" s="399">
        <v>576000</v>
      </c>
    </row>
    <row r="95" spans="2:8" ht="12.75">
      <c r="B95" s="400" t="s">
        <v>500</v>
      </c>
      <c r="C95" s="395">
        <v>721</v>
      </c>
      <c r="D95" s="396"/>
      <c r="E95" s="399">
        <v>544280.6499999999</v>
      </c>
      <c r="F95" s="399">
        <v>159276.57</v>
      </c>
      <c r="G95" s="399">
        <f>+H95-F95</f>
        <v>592713.4299999999</v>
      </c>
      <c r="H95" s="399">
        <v>751990</v>
      </c>
    </row>
    <row r="96" spans="2:8" ht="12.75" hidden="1">
      <c r="B96" s="400" t="s">
        <v>501</v>
      </c>
      <c r="C96" s="395">
        <v>722</v>
      </c>
      <c r="D96" s="396"/>
      <c r="E96" s="399"/>
      <c r="F96" s="399"/>
      <c r="G96" s="399">
        <f>+H96-F96</f>
        <v>0</v>
      </c>
      <c r="H96" s="399">
        <v>0</v>
      </c>
    </row>
    <row r="97" spans="2:8" ht="12.75" hidden="1">
      <c r="B97" s="400" t="s">
        <v>502</v>
      </c>
      <c r="C97" s="395">
        <v>723</v>
      </c>
      <c r="D97" s="396"/>
      <c r="E97" s="399"/>
      <c r="F97" s="399"/>
      <c r="G97" s="399">
        <f>+H97-F97</f>
        <v>0</v>
      </c>
      <c r="H97" s="399">
        <v>0</v>
      </c>
    </row>
    <row r="98" spans="2:8" ht="12.75">
      <c r="B98" s="400" t="s">
        <v>586</v>
      </c>
      <c r="C98" s="395">
        <v>722</v>
      </c>
      <c r="D98" s="396"/>
      <c r="E98" s="399">
        <v>1312105.5</v>
      </c>
      <c r="F98" s="399">
        <v>4702.65</v>
      </c>
      <c r="G98" s="399">
        <f>+H98-F98</f>
        <v>188347.35</v>
      </c>
      <c r="H98" s="399">
        <v>193050</v>
      </c>
    </row>
    <row r="99" spans="2:8" ht="12.75">
      <c r="B99" s="400" t="s">
        <v>502</v>
      </c>
      <c r="C99" s="395">
        <v>723</v>
      </c>
      <c r="D99" s="396"/>
      <c r="E99" s="399">
        <v>248505.94</v>
      </c>
      <c r="F99" s="399"/>
      <c r="G99" s="399"/>
      <c r="H99" s="399"/>
    </row>
    <row r="100" spans="2:8" ht="12.75">
      <c r="B100" s="400" t="s">
        <v>503</v>
      </c>
      <c r="C100" s="395">
        <v>724</v>
      </c>
      <c r="D100" s="396"/>
      <c r="E100" s="399">
        <v>4334125</v>
      </c>
      <c r="F100" s="399">
        <v>1842500</v>
      </c>
      <c r="G100" s="399">
        <f aca="true" t="shared" si="4" ref="G100:G113">+H100-F100</f>
        <v>3507500</v>
      </c>
      <c r="H100" s="399">
        <v>5350000</v>
      </c>
    </row>
    <row r="101" spans="2:8" ht="12.75">
      <c r="B101" s="400" t="s">
        <v>504</v>
      </c>
      <c r="C101" s="395">
        <v>725</v>
      </c>
      <c r="D101" s="396"/>
      <c r="E101" s="399">
        <v>18288948.799999997</v>
      </c>
      <c r="F101" s="399">
        <v>8053053.5</v>
      </c>
      <c r="G101" s="399">
        <f t="shared" si="4"/>
        <v>14561253.5</v>
      </c>
      <c r="H101" s="399">
        <v>22614307</v>
      </c>
    </row>
    <row r="102" spans="2:8" ht="12.75">
      <c r="B102" s="400" t="s">
        <v>505</v>
      </c>
      <c r="C102" s="395">
        <v>731</v>
      </c>
      <c r="D102" s="396"/>
      <c r="E102" s="399">
        <v>26123075.24</v>
      </c>
      <c r="F102" s="399">
        <v>13389114.68</v>
      </c>
      <c r="G102" s="399">
        <f t="shared" si="4"/>
        <v>19175509.32</v>
      </c>
      <c r="H102" s="399">
        <v>32564624</v>
      </c>
    </row>
    <row r="103" spans="2:8" ht="12.75">
      <c r="B103" s="400" t="s">
        <v>506</v>
      </c>
      <c r="C103" s="395">
        <v>732</v>
      </c>
      <c r="D103" s="396"/>
      <c r="E103" s="399">
        <v>4351357.17</v>
      </c>
      <c r="F103" s="399">
        <v>2231399.2</v>
      </c>
      <c r="G103" s="399">
        <f t="shared" si="4"/>
        <v>3196048.8</v>
      </c>
      <c r="H103" s="399">
        <v>5427448</v>
      </c>
    </row>
    <row r="104" spans="2:8" ht="12.75">
      <c r="B104" s="400" t="s">
        <v>507</v>
      </c>
      <c r="C104" s="395">
        <v>733</v>
      </c>
      <c r="D104" s="396"/>
      <c r="E104" s="399">
        <v>2446362.5</v>
      </c>
      <c r="F104" s="399">
        <v>1258825</v>
      </c>
      <c r="G104" s="399">
        <f t="shared" si="4"/>
        <v>1792575</v>
      </c>
      <c r="H104" s="399">
        <v>3051400</v>
      </c>
    </row>
    <row r="105" spans="2:8" ht="12.75">
      <c r="B105" s="400" t="s">
        <v>508</v>
      </c>
      <c r="C105" s="395">
        <v>734</v>
      </c>
      <c r="D105" s="396"/>
      <c r="E105" s="399">
        <v>1037418.0499999999</v>
      </c>
      <c r="F105" s="399">
        <v>529885.95</v>
      </c>
      <c r="G105" s="399">
        <f t="shared" si="4"/>
        <v>754114.05</v>
      </c>
      <c r="H105" s="399">
        <v>1284000</v>
      </c>
    </row>
    <row r="106" spans="2:8" ht="12.75">
      <c r="B106" s="400" t="s">
        <v>509</v>
      </c>
      <c r="C106" s="395">
        <v>742</v>
      </c>
      <c r="D106" s="396"/>
      <c r="E106" s="399"/>
      <c r="F106" s="399"/>
      <c r="G106" s="399">
        <f t="shared" si="4"/>
        <v>10811635</v>
      </c>
      <c r="H106" s="399">
        <v>10811635</v>
      </c>
    </row>
    <row r="107" spans="2:8" ht="12.75">
      <c r="B107" s="400" t="s">
        <v>510</v>
      </c>
      <c r="C107" s="395">
        <v>743</v>
      </c>
      <c r="D107" s="396"/>
      <c r="E107" s="399">
        <v>7286882.860000001</v>
      </c>
      <c r="F107" s="399">
        <f>406471.7+46083.49+2019282.58</f>
        <v>2471837.77</v>
      </c>
      <c r="G107" s="399">
        <f t="shared" si="4"/>
        <v>6701279.23</v>
      </c>
      <c r="H107" s="399">
        <v>9173117</v>
      </c>
    </row>
    <row r="108" spans="2:8" ht="12.75" hidden="1">
      <c r="B108" s="400" t="s">
        <v>511</v>
      </c>
      <c r="C108" s="395" t="s">
        <v>512</v>
      </c>
      <c r="D108" s="396"/>
      <c r="E108" s="399"/>
      <c r="F108" s="399"/>
      <c r="G108" s="399">
        <f t="shared" si="4"/>
        <v>0</v>
      </c>
      <c r="H108" s="399"/>
    </row>
    <row r="109" spans="2:8" ht="12.75" hidden="1">
      <c r="B109" s="400" t="s">
        <v>513</v>
      </c>
      <c r="C109" s="395" t="s">
        <v>514</v>
      </c>
      <c r="D109" s="396"/>
      <c r="E109" s="399"/>
      <c r="F109" s="399"/>
      <c r="G109" s="399">
        <f t="shared" si="4"/>
        <v>0</v>
      </c>
      <c r="H109" s="399"/>
    </row>
    <row r="110" spans="2:8" ht="12.75" hidden="1">
      <c r="B110" s="400" t="s">
        <v>515</v>
      </c>
      <c r="C110" s="395" t="s">
        <v>516</v>
      </c>
      <c r="D110" s="396"/>
      <c r="E110" s="399"/>
      <c r="F110" s="399"/>
      <c r="G110" s="399">
        <f t="shared" si="4"/>
        <v>0</v>
      </c>
      <c r="H110" s="399"/>
    </row>
    <row r="111" spans="2:8" ht="12.75" hidden="1">
      <c r="B111" s="400" t="s">
        <v>517</v>
      </c>
      <c r="C111" s="395" t="s">
        <v>518</v>
      </c>
      <c r="D111" s="396"/>
      <c r="E111" s="399"/>
      <c r="F111" s="399"/>
      <c r="G111" s="399">
        <f t="shared" si="4"/>
        <v>0</v>
      </c>
      <c r="H111" s="399"/>
    </row>
    <row r="112" spans="2:8" ht="12.75">
      <c r="B112" s="400" t="s">
        <v>519</v>
      </c>
      <c r="C112" s="395">
        <v>749</v>
      </c>
      <c r="D112" s="396"/>
      <c r="E112" s="399">
        <v>9109464.95</v>
      </c>
      <c r="F112" s="399">
        <v>5346609.26</v>
      </c>
      <c r="G112" s="399">
        <f t="shared" si="4"/>
        <v>-5346609.26</v>
      </c>
      <c r="H112" s="399"/>
    </row>
    <row r="113" spans="2:8" ht="12.75">
      <c r="B113" s="400" t="s">
        <v>520</v>
      </c>
      <c r="C113" s="395" t="s">
        <v>245</v>
      </c>
      <c r="D113" s="396"/>
      <c r="E113" s="399">
        <v>450000</v>
      </c>
      <c r="F113" s="399">
        <v>310000</v>
      </c>
      <c r="G113" s="399">
        <f t="shared" si="4"/>
        <v>1000000</v>
      </c>
      <c r="H113" s="399">
        <v>1310000</v>
      </c>
    </row>
    <row r="114" spans="2:8" ht="12.75">
      <c r="B114" s="400" t="s">
        <v>523</v>
      </c>
      <c r="C114" s="395" t="s">
        <v>364</v>
      </c>
      <c r="D114" s="396"/>
      <c r="E114" s="399"/>
      <c r="F114" s="399"/>
      <c r="G114" s="399"/>
      <c r="H114" s="399"/>
    </row>
    <row r="115" spans="2:8" ht="12.75">
      <c r="B115" s="400" t="s">
        <v>521</v>
      </c>
      <c r="C115" s="395" t="s">
        <v>522</v>
      </c>
      <c r="D115" s="407"/>
      <c r="E115" s="408"/>
      <c r="F115" s="408"/>
      <c r="G115" s="399">
        <f>+H115-F115</f>
        <v>10700000</v>
      </c>
      <c r="H115" s="399">
        <v>10700000</v>
      </c>
    </row>
    <row r="116" spans="2:8" ht="12.75">
      <c r="B116" s="409" t="s">
        <v>524</v>
      </c>
      <c r="C116" s="381"/>
      <c r="D116" s="407"/>
      <c r="E116" s="408"/>
      <c r="F116" s="408"/>
      <c r="G116" s="399">
        <f>+H116-F116</f>
        <v>5500000</v>
      </c>
      <c r="H116" s="408">
        <v>5500000</v>
      </c>
    </row>
    <row r="117" spans="2:8" ht="13.5" thickBot="1">
      <c r="B117" s="400" t="s">
        <v>525</v>
      </c>
      <c r="C117" s="395"/>
      <c r="D117" s="410"/>
      <c r="E117" s="402"/>
      <c r="F117" s="402"/>
      <c r="G117" s="402">
        <f>+H117-F117</f>
        <v>4000000</v>
      </c>
      <c r="H117" s="402">
        <v>4000000</v>
      </c>
    </row>
    <row r="118" spans="2:8" ht="12.75">
      <c r="B118" s="411" t="s">
        <v>526</v>
      </c>
      <c r="C118" s="412"/>
      <c r="D118" s="407"/>
      <c r="E118" s="413">
        <f>+SUM(E86:E117)</f>
        <v>338905532.06000006</v>
      </c>
      <c r="F118" s="413">
        <f>+SUM(F86:F117)</f>
        <v>161780905.13999996</v>
      </c>
      <c r="G118" s="413">
        <f>+SUM(G86:G117)</f>
        <v>263329933.86000004</v>
      </c>
      <c r="H118" s="413">
        <f>+SUM(H86:H117)</f>
        <v>425110839</v>
      </c>
    </row>
    <row r="119" spans="2:8" ht="12.75">
      <c r="B119" s="400"/>
      <c r="C119" s="395"/>
      <c r="D119" s="396"/>
      <c r="E119" s="399"/>
      <c r="F119" s="399"/>
      <c r="G119" s="399"/>
      <c r="H119" s="399"/>
    </row>
    <row r="120" spans="2:8" ht="12.75">
      <c r="B120" s="414" t="s">
        <v>247</v>
      </c>
      <c r="C120" s="395"/>
      <c r="D120" s="396"/>
      <c r="E120" s="399"/>
      <c r="F120" s="399"/>
      <c r="G120" s="399"/>
      <c r="H120" s="399"/>
    </row>
    <row r="121" spans="2:8" ht="12.75">
      <c r="B121" s="400" t="s">
        <v>527</v>
      </c>
      <c r="C121" s="395">
        <v>751</v>
      </c>
      <c r="D121" s="396"/>
      <c r="E121" s="399">
        <v>7108118.580000001</v>
      </c>
      <c r="F121" s="399">
        <v>2253004.2</v>
      </c>
      <c r="G121" s="399">
        <f aca="true" t="shared" si="5" ref="G121:G152">+H121-F121</f>
        <v>8856402.8</v>
      </c>
      <c r="H121" s="399">
        <v>11109407</v>
      </c>
    </row>
    <row r="122" spans="2:8" ht="12.75">
      <c r="B122" s="400" t="s">
        <v>528</v>
      </c>
      <c r="C122" s="395">
        <v>752</v>
      </c>
      <c r="D122" s="396"/>
      <c r="E122" s="399">
        <v>42940</v>
      </c>
      <c r="F122" s="399"/>
      <c r="G122" s="399">
        <f t="shared" si="5"/>
        <v>200000</v>
      </c>
      <c r="H122" s="399">
        <v>200000</v>
      </c>
    </row>
    <row r="123" spans="2:8" ht="12.75">
      <c r="B123" s="400" t="s">
        <v>529</v>
      </c>
      <c r="C123" s="395">
        <v>753</v>
      </c>
      <c r="D123" s="396"/>
      <c r="E123" s="399">
        <v>1845740.95</v>
      </c>
      <c r="F123" s="399">
        <v>187420</v>
      </c>
      <c r="G123" s="399">
        <f t="shared" si="5"/>
        <v>3201511</v>
      </c>
      <c r="H123" s="399">
        <v>3388931</v>
      </c>
    </row>
    <row r="124" spans="2:8" ht="12.75">
      <c r="B124" s="400" t="s">
        <v>530</v>
      </c>
      <c r="C124" s="395">
        <v>755</v>
      </c>
      <c r="D124" s="396"/>
      <c r="E124" s="399">
        <v>6501782.170000001</v>
      </c>
      <c r="F124" s="399">
        <v>755407.88</v>
      </c>
      <c r="G124" s="399">
        <f t="shared" si="5"/>
        <v>9038942.12</v>
      </c>
      <c r="H124" s="399">
        <v>9794350</v>
      </c>
    </row>
    <row r="125" spans="2:8" ht="12.75">
      <c r="B125" s="400" t="s">
        <v>531</v>
      </c>
      <c r="C125" s="395">
        <v>756</v>
      </c>
      <c r="D125" s="396"/>
      <c r="E125" s="399">
        <v>1137261.5</v>
      </c>
      <c r="F125" s="399">
        <v>645416.49</v>
      </c>
      <c r="G125" s="399">
        <f t="shared" si="5"/>
        <v>704583.51</v>
      </c>
      <c r="H125" s="399">
        <v>1350000</v>
      </c>
    </row>
    <row r="126" spans="2:8" ht="12.75">
      <c r="B126" s="400" t="s">
        <v>532</v>
      </c>
      <c r="C126" s="395">
        <v>757</v>
      </c>
      <c r="D126" s="396"/>
      <c r="E126" s="399">
        <v>89492.2</v>
      </c>
      <c r="F126" s="399"/>
      <c r="G126" s="399">
        <f t="shared" si="5"/>
        <v>600000</v>
      </c>
      <c r="H126" s="399">
        <v>600000</v>
      </c>
    </row>
    <row r="127" spans="2:8" ht="12.75">
      <c r="B127" s="400" t="s">
        <v>533</v>
      </c>
      <c r="C127" s="395">
        <v>758</v>
      </c>
      <c r="D127" s="396"/>
      <c r="E127" s="399">
        <v>112965</v>
      </c>
      <c r="F127" s="399"/>
      <c r="G127" s="399">
        <f t="shared" si="5"/>
        <v>252000</v>
      </c>
      <c r="H127" s="399">
        <v>252000</v>
      </c>
    </row>
    <row r="128" spans="2:8" ht="12.75">
      <c r="B128" s="400" t="s">
        <v>534</v>
      </c>
      <c r="C128" s="395">
        <v>759</v>
      </c>
      <c r="D128" s="396"/>
      <c r="E128" s="399">
        <v>13488628.5</v>
      </c>
      <c r="F128" s="399"/>
      <c r="G128" s="399">
        <f t="shared" si="5"/>
        <v>12500000</v>
      </c>
      <c r="H128" s="399">
        <v>12500000</v>
      </c>
    </row>
    <row r="129" spans="2:8" ht="12.75">
      <c r="B129" s="400" t="s">
        <v>535</v>
      </c>
      <c r="C129" s="395">
        <v>760</v>
      </c>
      <c r="D129" s="396"/>
      <c r="E129" s="399">
        <v>3063365.35</v>
      </c>
      <c r="F129" s="399"/>
      <c r="G129" s="399">
        <f t="shared" si="5"/>
        <v>5000000</v>
      </c>
      <c r="H129" s="399">
        <v>5000000</v>
      </c>
    </row>
    <row r="130" spans="2:8" ht="12.75">
      <c r="B130" s="400" t="s">
        <v>536</v>
      </c>
      <c r="C130" s="395">
        <v>761</v>
      </c>
      <c r="D130" s="396"/>
      <c r="E130" s="399">
        <v>43768886.89999999</v>
      </c>
      <c r="F130" s="399">
        <v>3142371.68</v>
      </c>
      <c r="G130" s="399">
        <f t="shared" si="5"/>
        <v>46506556.32</v>
      </c>
      <c r="H130" s="399">
        <v>49648928</v>
      </c>
    </row>
    <row r="131" spans="2:8" ht="12.75" hidden="1">
      <c r="B131" s="400" t="s">
        <v>537</v>
      </c>
      <c r="C131" s="395">
        <v>762</v>
      </c>
      <c r="D131" s="396"/>
      <c r="E131" s="399"/>
      <c r="F131" s="399"/>
      <c r="G131" s="399">
        <f t="shared" si="5"/>
        <v>0</v>
      </c>
      <c r="H131" s="399"/>
    </row>
    <row r="132" spans="2:8" ht="12.75">
      <c r="B132" s="400" t="s">
        <v>538</v>
      </c>
      <c r="C132" s="395">
        <v>765</v>
      </c>
      <c r="D132" s="396"/>
      <c r="E132" s="399">
        <v>2952429.24</v>
      </c>
      <c r="F132" s="399">
        <v>1659</v>
      </c>
      <c r="G132" s="399">
        <f t="shared" si="5"/>
        <v>4707541</v>
      </c>
      <c r="H132" s="399">
        <v>4709200</v>
      </c>
    </row>
    <row r="133" spans="2:8" ht="12.75">
      <c r="B133" s="400" t="s">
        <v>539</v>
      </c>
      <c r="C133" s="395">
        <v>766</v>
      </c>
      <c r="D133" s="396"/>
      <c r="E133" s="399">
        <v>5000000</v>
      </c>
      <c r="F133" s="399">
        <v>1930246.29</v>
      </c>
      <c r="G133" s="399">
        <f t="shared" si="5"/>
        <v>4069753.71</v>
      </c>
      <c r="H133" s="399">
        <v>6000000</v>
      </c>
    </row>
    <row r="134" spans="2:8" ht="12.75">
      <c r="B134" s="400" t="s">
        <v>540</v>
      </c>
      <c r="C134" s="395">
        <v>767</v>
      </c>
      <c r="D134" s="396"/>
      <c r="E134" s="399">
        <v>49891932.559999995</v>
      </c>
      <c r="F134" s="399">
        <v>12984584.11</v>
      </c>
      <c r="G134" s="399">
        <f t="shared" si="5"/>
        <v>47015415.89</v>
      </c>
      <c r="H134" s="399">
        <v>60000000</v>
      </c>
    </row>
    <row r="135" spans="2:8" ht="12.75">
      <c r="B135" s="400" t="s">
        <v>541</v>
      </c>
      <c r="C135" s="395">
        <v>771</v>
      </c>
      <c r="D135" s="396"/>
      <c r="E135" s="399">
        <v>34690</v>
      </c>
      <c r="F135" s="399">
        <v>9556.83</v>
      </c>
      <c r="G135" s="399">
        <f t="shared" si="5"/>
        <v>125443.17</v>
      </c>
      <c r="H135" s="399">
        <v>135000</v>
      </c>
    </row>
    <row r="136" spans="2:8" ht="12.75">
      <c r="B136" s="400" t="s">
        <v>542</v>
      </c>
      <c r="C136" s="395">
        <v>772</v>
      </c>
      <c r="D136" s="396"/>
      <c r="E136" s="399">
        <v>742893.9700000001</v>
      </c>
      <c r="F136" s="399">
        <v>242898.21</v>
      </c>
      <c r="G136" s="399">
        <f t="shared" si="5"/>
        <v>807101.79</v>
      </c>
      <c r="H136" s="399">
        <v>1050000</v>
      </c>
    </row>
    <row r="137" spans="2:8" ht="12.75">
      <c r="B137" s="400" t="s">
        <v>543</v>
      </c>
      <c r="C137" s="395">
        <v>773</v>
      </c>
      <c r="D137" s="396"/>
      <c r="E137" s="399">
        <v>1052596.96</v>
      </c>
      <c r="F137" s="399">
        <v>352200</v>
      </c>
      <c r="G137" s="399">
        <f t="shared" si="5"/>
        <v>877800</v>
      </c>
      <c r="H137" s="399">
        <v>1230000</v>
      </c>
    </row>
    <row r="138" spans="2:8" ht="12.75">
      <c r="B138" s="400" t="s">
        <v>544</v>
      </c>
      <c r="C138" s="395">
        <v>774</v>
      </c>
      <c r="D138" s="396"/>
      <c r="E138" s="399">
        <v>421866.32000000007</v>
      </c>
      <c r="F138" s="399">
        <v>239608.01</v>
      </c>
      <c r="G138" s="399">
        <f t="shared" si="5"/>
        <v>370391.99</v>
      </c>
      <c r="H138" s="399">
        <v>610000</v>
      </c>
    </row>
    <row r="139" spans="2:8" ht="12.75" hidden="1">
      <c r="B139" s="400" t="s">
        <v>545</v>
      </c>
      <c r="C139" s="395">
        <v>775</v>
      </c>
      <c r="D139" s="396"/>
      <c r="E139" s="399"/>
      <c r="F139" s="399"/>
      <c r="G139" s="399">
        <f t="shared" si="5"/>
        <v>0</v>
      </c>
      <c r="H139" s="399"/>
    </row>
    <row r="140" spans="2:8" ht="12.75">
      <c r="B140" s="400" t="s">
        <v>546</v>
      </c>
      <c r="C140" s="395">
        <v>778</v>
      </c>
      <c r="D140" s="396"/>
      <c r="E140" s="399">
        <v>1000</v>
      </c>
      <c r="F140" s="399">
        <v>2400</v>
      </c>
      <c r="G140" s="399">
        <f t="shared" si="5"/>
        <v>5600</v>
      </c>
      <c r="H140" s="399">
        <v>8000</v>
      </c>
    </row>
    <row r="141" spans="2:8" ht="12.75">
      <c r="B141" s="400" t="s">
        <v>547</v>
      </c>
      <c r="C141" s="395">
        <v>780</v>
      </c>
      <c r="D141" s="396"/>
      <c r="E141" s="399">
        <v>2927115.4</v>
      </c>
      <c r="F141" s="399">
        <v>496000</v>
      </c>
      <c r="G141" s="399">
        <f t="shared" si="5"/>
        <v>4654000</v>
      </c>
      <c r="H141" s="399">
        <v>5150000</v>
      </c>
    </row>
    <row r="142" spans="2:8" ht="12.75">
      <c r="B142" s="400" t="s">
        <v>548</v>
      </c>
      <c r="C142" s="395">
        <v>781</v>
      </c>
      <c r="D142" s="396"/>
      <c r="E142" s="399">
        <v>439163</v>
      </c>
      <c r="F142" s="399">
        <v>2180</v>
      </c>
      <c r="G142" s="399">
        <f t="shared" si="5"/>
        <v>792820</v>
      </c>
      <c r="H142" s="399">
        <v>795000</v>
      </c>
    </row>
    <row r="143" spans="2:8" ht="12.75">
      <c r="B143" s="400" t="s">
        <v>549</v>
      </c>
      <c r="C143" s="395">
        <v>782</v>
      </c>
      <c r="D143" s="396"/>
      <c r="E143" s="399">
        <v>1208009.24</v>
      </c>
      <c r="F143" s="399">
        <v>567778</v>
      </c>
      <c r="G143" s="399">
        <f t="shared" si="5"/>
        <v>1544222</v>
      </c>
      <c r="H143" s="399">
        <v>2112000</v>
      </c>
    </row>
    <row r="144" spans="2:8" ht="12.75">
      <c r="B144" s="400" t="s">
        <v>550</v>
      </c>
      <c r="C144" s="395">
        <v>783</v>
      </c>
      <c r="D144" s="396"/>
      <c r="E144" s="399">
        <v>4362086.92</v>
      </c>
      <c r="F144" s="399">
        <v>2987500</v>
      </c>
      <c r="G144" s="399">
        <f t="shared" si="5"/>
        <v>1332500</v>
      </c>
      <c r="H144" s="399">
        <v>4320000</v>
      </c>
    </row>
    <row r="145" spans="2:8" ht="12.75">
      <c r="B145" s="400" t="s">
        <v>551</v>
      </c>
      <c r="C145" s="395">
        <v>784</v>
      </c>
      <c r="D145" s="396"/>
      <c r="E145" s="399">
        <v>47794.8</v>
      </c>
      <c r="F145" s="399">
        <v>15000</v>
      </c>
      <c r="G145" s="399">
        <f t="shared" si="5"/>
        <v>91000</v>
      </c>
      <c r="H145" s="399">
        <v>106000</v>
      </c>
    </row>
    <row r="146" spans="2:8" ht="12.75">
      <c r="B146" s="400" t="s">
        <v>552</v>
      </c>
      <c r="C146" s="395">
        <v>786</v>
      </c>
      <c r="D146" s="396"/>
      <c r="E146" s="399">
        <v>349859</v>
      </c>
      <c r="F146" s="399">
        <v>44346</v>
      </c>
      <c r="G146" s="399">
        <f t="shared" si="5"/>
        <v>370204</v>
      </c>
      <c r="H146" s="399">
        <v>414550</v>
      </c>
    </row>
    <row r="147" spans="2:8" ht="12.75" hidden="1">
      <c r="B147" s="400" t="s">
        <v>553</v>
      </c>
      <c r="C147" s="395">
        <v>794</v>
      </c>
      <c r="D147" s="396"/>
      <c r="E147" s="399"/>
      <c r="F147" s="399"/>
      <c r="G147" s="399">
        <f t="shared" si="5"/>
        <v>0</v>
      </c>
      <c r="H147" s="399"/>
    </row>
    <row r="148" spans="2:8" ht="12.75">
      <c r="B148" s="400" t="s">
        <v>554</v>
      </c>
      <c r="C148" s="395">
        <v>795</v>
      </c>
      <c r="D148" s="396"/>
      <c r="E148" s="399">
        <v>62855742.57999999</v>
      </c>
      <c r="F148" s="399">
        <v>23181553.92</v>
      </c>
      <c r="G148" s="399">
        <f t="shared" si="5"/>
        <v>40775351.08</v>
      </c>
      <c r="H148" s="399">
        <v>63956905</v>
      </c>
    </row>
    <row r="149" spans="2:8" ht="12.75" hidden="1">
      <c r="B149" s="400" t="s">
        <v>555</v>
      </c>
      <c r="C149" s="395">
        <v>799</v>
      </c>
      <c r="D149" s="396"/>
      <c r="E149" s="399">
        <v>0</v>
      </c>
      <c r="F149" s="399"/>
      <c r="G149" s="399">
        <f t="shared" si="5"/>
        <v>0</v>
      </c>
      <c r="H149" s="399">
        <v>0</v>
      </c>
    </row>
    <row r="150" spans="2:8" ht="25.5" hidden="1">
      <c r="B150" s="415" t="s">
        <v>556</v>
      </c>
      <c r="C150" s="395">
        <v>805</v>
      </c>
      <c r="D150" s="396"/>
      <c r="E150" s="399"/>
      <c r="F150" s="399"/>
      <c r="G150" s="399">
        <f t="shared" si="5"/>
        <v>0</v>
      </c>
      <c r="H150" s="399"/>
    </row>
    <row r="151" spans="2:8" ht="12.75">
      <c r="B151" s="400" t="s">
        <v>557</v>
      </c>
      <c r="C151" s="395">
        <v>811</v>
      </c>
      <c r="D151" s="396"/>
      <c r="E151" s="399">
        <v>210618.2</v>
      </c>
      <c r="F151" s="399">
        <v>11010</v>
      </c>
      <c r="G151" s="399">
        <f t="shared" si="5"/>
        <v>-11010</v>
      </c>
      <c r="H151" s="399">
        <v>0</v>
      </c>
    </row>
    <row r="152" spans="2:8" ht="12.75">
      <c r="B152" s="400" t="s">
        <v>558</v>
      </c>
      <c r="C152" s="395">
        <v>813</v>
      </c>
      <c r="D152" s="396"/>
      <c r="E152" s="399">
        <v>65793.4</v>
      </c>
      <c r="F152" s="399"/>
      <c r="G152" s="399">
        <f t="shared" si="5"/>
        <v>417000</v>
      </c>
      <c r="H152" s="399">
        <v>417000</v>
      </c>
    </row>
    <row r="153" spans="2:8" ht="12.75" hidden="1">
      <c r="B153" s="400" t="s">
        <v>559</v>
      </c>
      <c r="C153" s="395">
        <v>814</v>
      </c>
      <c r="D153" s="396"/>
      <c r="E153" s="399"/>
      <c r="F153" s="399"/>
      <c r="G153" s="399">
        <f aca="true" t="shared" si="6" ref="G153:G174">+H153-F153</f>
        <v>0</v>
      </c>
      <c r="H153" s="399">
        <v>0</v>
      </c>
    </row>
    <row r="154" spans="2:8" ht="12.75">
      <c r="B154" s="400" t="s">
        <v>560</v>
      </c>
      <c r="C154" s="395">
        <v>815</v>
      </c>
      <c r="D154" s="396"/>
      <c r="E154" s="399"/>
      <c r="F154" s="399"/>
      <c r="G154" s="399">
        <f t="shared" si="6"/>
        <v>2540000</v>
      </c>
      <c r="H154" s="399">
        <v>2540000</v>
      </c>
    </row>
    <row r="155" spans="2:8" ht="12.75">
      <c r="B155" s="400" t="s">
        <v>561</v>
      </c>
      <c r="C155" s="395">
        <v>821</v>
      </c>
      <c r="D155" s="396"/>
      <c r="E155" s="399">
        <v>100522</v>
      </c>
      <c r="F155" s="399">
        <v>9494</v>
      </c>
      <c r="G155" s="399">
        <f t="shared" si="6"/>
        <v>300506</v>
      </c>
      <c r="H155" s="399">
        <v>310000</v>
      </c>
    </row>
    <row r="156" spans="2:8" ht="12.75">
      <c r="B156" s="400" t="s">
        <v>562</v>
      </c>
      <c r="C156" s="395">
        <v>822</v>
      </c>
      <c r="D156" s="396"/>
      <c r="E156" s="399"/>
      <c r="F156" s="399"/>
      <c r="G156" s="399">
        <f t="shared" si="6"/>
        <v>20000</v>
      </c>
      <c r="H156" s="399">
        <v>20000</v>
      </c>
    </row>
    <row r="157" spans="2:8" ht="12.75">
      <c r="B157" s="400" t="s">
        <v>563</v>
      </c>
      <c r="C157" s="395">
        <v>823</v>
      </c>
      <c r="D157" s="396"/>
      <c r="E157" s="399">
        <v>161730.5</v>
      </c>
      <c r="F157" s="399">
        <v>365</v>
      </c>
      <c r="G157" s="399">
        <f t="shared" si="6"/>
        <v>478135</v>
      </c>
      <c r="H157" s="399">
        <v>478500</v>
      </c>
    </row>
    <row r="158" spans="2:8" ht="12.75">
      <c r="B158" s="400" t="s">
        <v>564</v>
      </c>
      <c r="C158" s="395">
        <v>833</v>
      </c>
      <c r="D158" s="396"/>
      <c r="E158" s="399">
        <v>114135</v>
      </c>
      <c r="F158" s="399"/>
      <c r="G158" s="399">
        <f t="shared" si="6"/>
        <v>341000</v>
      </c>
      <c r="H158" s="399">
        <v>341000</v>
      </c>
    </row>
    <row r="159" spans="2:8" ht="12.75">
      <c r="B159" s="400" t="s">
        <v>565</v>
      </c>
      <c r="C159" s="395">
        <v>840</v>
      </c>
      <c r="D159" s="396"/>
      <c r="E159" s="399">
        <v>179545</v>
      </c>
      <c r="F159" s="399"/>
      <c r="G159" s="399">
        <f t="shared" si="6"/>
        <v>527000</v>
      </c>
      <c r="H159" s="399">
        <v>527000</v>
      </c>
    </row>
    <row r="160" spans="2:8" ht="12.75">
      <c r="B160" s="400" t="s">
        <v>566</v>
      </c>
      <c r="C160" s="395">
        <v>841</v>
      </c>
      <c r="D160" s="396"/>
      <c r="E160" s="399">
        <v>14387728.5</v>
      </c>
      <c r="F160" s="399">
        <v>80140</v>
      </c>
      <c r="G160" s="399">
        <f t="shared" si="6"/>
        <v>9643354</v>
      </c>
      <c r="H160" s="399">
        <v>9723494</v>
      </c>
    </row>
    <row r="161" spans="2:8" ht="12.75" hidden="1">
      <c r="B161" s="400" t="s">
        <v>567</v>
      </c>
      <c r="C161" s="395">
        <v>844</v>
      </c>
      <c r="D161" s="396"/>
      <c r="E161" s="399"/>
      <c r="F161" s="399"/>
      <c r="G161" s="399">
        <f t="shared" si="6"/>
        <v>0</v>
      </c>
      <c r="H161" s="399">
        <v>0</v>
      </c>
    </row>
    <row r="162" spans="2:8" ht="12.75">
      <c r="B162" s="400" t="s">
        <v>568</v>
      </c>
      <c r="C162" s="395">
        <v>850</v>
      </c>
      <c r="D162" s="396"/>
      <c r="E162" s="399"/>
      <c r="F162" s="399"/>
      <c r="G162" s="399">
        <f t="shared" si="6"/>
        <v>50000</v>
      </c>
      <c r="H162" s="399">
        <v>50000</v>
      </c>
    </row>
    <row r="163" spans="2:8" ht="12.75" hidden="1">
      <c r="B163" s="400" t="s">
        <v>569</v>
      </c>
      <c r="C163" s="395">
        <v>851</v>
      </c>
      <c r="D163" s="396"/>
      <c r="E163" s="399"/>
      <c r="F163" s="399"/>
      <c r="G163" s="399">
        <f t="shared" si="6"/>
        <v>0</v>
      </c>
      <c r="H163" s="399"/>
    </row>
    <row r="164" spans="2:8" ht="12.75" hidden="1">
      <c r="B164" s="400" t="s">
        <v>570</v>
      </c>
      <c r="C164" s="395">
        <v>852</v>
      </c>
      <c r="D164" s="396"/>
      <c r="E164" s="399"/>
      <c r="F164" s="399"/>
      <c r="G164" s="399">
        <f t="shared" si="6"/>
        <v>0</v>
      </c>
      <c r="H164" s="399"/>
    </row>
    <row r="165" spans="2:8" ht="12.75" hidden="1">
      <c r="B165" s="400" t="s">
        <v>571</v>
      </c>
      <c r="C165" s="395">
        <v>854</v>
      </c>
      <c r="D165" s="396"/>
      <c r="E165" s="399"/>
      <c r="F165" s="399"/>
      <c r="G165" s="399">
        <f t="shared" si="6"/>
        <v>0</v>
      </c>
      <c r="H165" s="399">
        <v>0</v>
      </c>
    </row>
    <row r="166" spans="2:8" ht="12.75" hidden="1">
      <c r="B166" s="400" t="s">
        <v>572</v>
      </c>
      <c r="C166" s="395">
        <v>860</v>
      </c>
      <c r="D166" s="396"/>
      <c r="E166" s="399"/>
      <c r="F166" s="399"/>
      <c r="G166" s="399">
        <f t="shared" si="6"/>
        <v>0</v>
      </c>
      <c r="H166" s="399"/>
    </row>
    <row r="167" spans="2:8" ht="12.75">
      <c r="B167" s="400" t="s">
        <v>573</v>
      </c>
      <c r="C167" s="395"/>
      <c r="D167" s="396"/>
      <c r="E167" s="399"/>
      <c r="F167" s="399"/>
      <c r="G167" s="399">
        <f t="shared" si="6"/>
        <v>10908012</v>
      </c>
      <c r="H167" s="399">
        <v>10908012</v>
      </c>
    </row>
    <row r="168" spans="2:8" ht="12.75" hidden="1">
      <c r="B168" s="400" t="s">
        <v>574</v>
      </c>
      <c r="C168" s="395">
        <v>877</v>
      </c>
      <c r="D168" s="396"/>
      <c r="E168" s="399"/>
      <c r="F168" s="399"/>
      <c r="G168" s="399">
        <f t="shared" si="6"/>
        <v>0</v>
      </c>
      <c r="H168" s="399"/>
    </row>
    <row r="169" spans="2:8" ht="12.75">
      <c r="B169" s="400" t="s">
        <v>575</v>
      </c>
      <c r="C169" s="395">
        <v>878</v>
      </c>
      <c r="D169" s="396"/>
      <c r="E169" s="399">
        <v>18967500</v>
      </c>
      <c r="F169" s="399">
        <v>128500</v>
      </c>
      <c r="G169" s="399">
        <f t="shared" si="6"/>
        <v>19871500</v>
      </c>
      <c r="H169" s="399">
        <v>20000000</v>
      </c>
    </row>
    <row r="170" spans="2:8" ht="12.75">
      <c r="B170" s="400" t="s">
        <v>576</v>
      </c>
      <c r="C170" s="395">
        <v>881</v>
      </c>
      <c r="D170" s="396"/>
      <c r="E170" s="399">
        <v>2275652.79</v>
      </c>
      <c r="F170" s="399"/>
      <c r="G170" s="399">
        <f t="shared" si="6"/>
        <v>2470528</v>
      </c>
      <c r="H170" s="399">
        <v>2470528</v>
      </c>
    </row>
    <row r="171" spans="2:8" ht="12.75" hidden="1">
      <c r="B171" s="400" t="s">
        <v>577</v>
      </c>
      <c r="C171" s="395">
        <v>891</v>
      </c>
      <c r="D171" s="396"/>
      <c r="E171" s="399"/>
      <c r="F171" s="399"/>
      <c r="G171" s="399">
        <f t="shared" si="6"/>
        <v>0</v>
      </c>
      <c r="H171" s="399"/>
    </row>
    <row r="172" spans="2:8" ht="12.75">
      <c r="B172" s="400" t="s">
        <v>578</v>
      </c>
      <c r="C172" s="395">
        <v>892</v>
      </c>
      <c r="D172" s="396"/>
      <c r="E172" s="399">
        <v>421500</v>
      </c>
      <c r="F172" s="399">
        <v>379941</v>
      </c>
      <c r="G172" s="399">
        <f t="shared" si="6"/>
        <v>136059</v>
      </c>
      <c r="H172" s="399">
        <v>516000</v>
      </c>
    </row>
    <row r="173" spans="2:8" ht="12.75">
      <c r="B173" s="400" t="s">
        <v>579</v>
      </c>
      <c r="C173" s="395">
        <v>893</v>
      </c>
      <c r="D173" s="396"/>
      <c r="E173" s="399">
        <v>3860554.24</v>
      </c>
      <c r="F173" s="399">
        <v>3061792.68</v>
      </c>
      <c r="G173" s="399">
        <f t="shared" si="6"/>
        <v>1938207.3199999998</v>
      </c>
      <c r="H173" s="399">
        <v>5000000</v>
      </c>
    </row>
    <row r="174" spans="2:8" ht="13.5" thickBot="1">
      <c r="B174" s="400" t="s">
        <v>580</v>
      </c>
      <c r="C174" s="395">
        <v>969</v>
      </c>
      <c r="D174" s="396"/>
      <c r="E174" s="402">
        <v>1571573</v>
      </c>
      <c r="F174" s="402">
        <v>404500</v>
      </c>
      <c r="G174" s="402">
        <f t="shared" si="6"/>
        <v>2342300</v>
      </c>
      <c r="H174" s="402">
        <v>2746800</v>
      </c>
    </row>
    <row r="175" spans="2:8" ht="11.25">
      <c r="B175" s="414" t="s">
        <v>581</v>
      </c>
      <c r="C175" s="416"/>
      <c r="D175" s="417"/>
      <c r="E175" s="413">
        <f>+SUM(E121:E174)</f>
        <v>251763213.76999998</v>
      </c>
      <c r="F175" s="413">
        <f>+SUM(F121:F174)</f>
        <v>54116873.300000004</v>
      </c>
      <c r="G175" s="413">
        <f>+SUM(G121:G174)</f>
        <v>246371731.7</v>
      </c>
      <c r="H175" s="413">
        <f>+SUM(H121:H174)</f>
        <v>300488605</v>
      </c>
    </row>
    <row r="176" spans="1:8" ht="11.25">
      <c r="A176" s="373" t="s">
        <v>591</v>
      </c>
      <c r="B176" s="414"/>
      <c r="C176" s="416"/>
      <c r="D176" s="417"/>
      <c r="E176" s="418"/>
      <c r="F176" s="418"/>
      <c r="G176" s="418"/>
      <c r="H176" s="418"/>
    </row>
    <row r="177" spans="2:8" ht="12.75">
      <c r="B177" s="414" t="s">
        <v>335</v>
      </c>
      <c r="C177" s="395"/>
      <c r="D177" s="396"/>
      <c r="E177" s="399"/>
      <c r="F177" s="399"/>
      <c r="G177" s="399"/>
      <c r="H177" s="399"/>
    </row>
    <row r="178" spans="2:8" ht="12.75">
      <c r="B178" s="400" t="s">
        <v>582</v>
      </c>
      <c r="C178" s="395">
        <v>971</v>
      </c>
      <c r="D178" s="396"/>
      <c r="E178" s="399">
        <v>17200</v>
      </c>
      <c r="F178" s="399">
        <v>6400.26</v>
      </c>
      <c r="G178" s="399">
        <f>+H178-F178</f>
        <v>63599.74</v>
      </c>
      <c r="H178" s="399">
        <v>70000</v>
      </c>
    </row>
    <row r="179" spans="2:8" ht="12.75">
      <c r="B179" s="400" t="s">
        <v>590</v>
      </c>
      <c r="C179" s="395"/>
      <c r="D179" s="396"/>
      <c r="E179" s="399"/>
      <c r="F179" s="399">
        <v>71605344.2</v>
      </c>
      <c r="G179" s="399">
        <f>+H179-F179</f>
        <v>241394655.8</v>
      </c>
      <c r="H179" s="399">
        <v>313000000</v>
      </c>
    </row>
    <row r="180" spans="2:8" ht="12.75">
      <c r="B180" s="400" t="s">
        <v>587</v>
      </c>
      <c r="C180" s="395">
        <v>975</v>
      </c>
      <c r="D180" s="396"/>
      <c r="E180" s="399">
        <v>81828687.77</v>
      </c>
      <c r="F180" s="399">
        <v>37899533.58</v>
      </c>
      <c r="G180" s="399">
        <f>+H180-F180</f>
        <v>-37899533.58</v>
      </c>
      <c r="H180" s="399">
        <v>0</v>
      </c>
    </row>
    <row r="181" spans="2:8" ht="13.5" thickBot="1">
      <c r="B181" s="400" t="s">
        <v>583</v>
      </c>
      <c r="C181" s="395">
        <v>979</v>
      </c>
      <c r="D181" s="396"/>
      <c r="E181" s="402">
        <v>78542.78</v>
      </c>
      <c r="F181" s="402">
        <v>13403.77</v>
      </c>
      <c r="G181" s="402">
        <f>+H181-F181</f>
        <v>-13403.77</v>
      </c>
      <c r="H181" s="402">
        <v>0</v>
      </c>
    </row>
    <row r="182" spans="2:8" ht="12.75">
      <c r="B182" s="400" t="s">
        <v>584</v>
      </c>
      <c r="C182" s="395"/>
      <c r="D182" s="396"/>
      <c r="E182" s="413">
        <f>+SUM(E178:E181)</f>
        <v>81924430.55</v>
      </c>
      <c r="F182" s="413">
        <f>+SUM(F178:F181)</f>
        <v>109524681.81</v>
      </c>
      <c r="G182" s="413">
        <f>+SUM(G178:G181)</f>
        <v>203545318.19000003</v>
      </c>
      <c r="H182" s="413">
        <f>+SUM(H178:H181)</f>
        <v>313070000</v>
      </c>
    </row>
    <row r="183" spans="2:8" ht="12.75">
      <c r="B183" s="400"/>
      <c r="C183" s="395"/>
      <c r="D183" s="396"/>
      <c r="E183" s="399"/>
      <c r="F183" s="399"/>
      <c r="G183" s="399"/>
      <c r="H183" s="399"/>
    </row>
    <row r="184" spans="2:10" ht="11.25">
      <c r="B184" s="414" t="s">
        <v>341</v>
      </c>
      <c r="C184" s="416"/>
      <c r="D184" s="417"/>
      <c r="E184" s="418">
        <f>+E182+E175+E118</f>
        <v>672593176.3800001</v>
      </c>
      <c r="F184" s="418">
        <f>+F182+F175+F118</f>
        <v>325422460.25</v>
      </c>
      <c r="G184" s="418">
        <f>+H184-F184</f>
        <v>713246983.75</v>
      </c>
      <c r="H184" s="418">
        <f>+H182+H175+H118</f>
        <v>1038669444</v>
      </c>
      <c r="J184" s="426"/>
    </row>
    <row r="185" spans="2:10" ht="11.25">
      <c r="B185" s="414"/>
      <c r="C185" s="416"/>
      <c r="D185" s="417"/>
      <c r="E185" s="418"/>
      <c r="F185" s="418"/>
      <c r="G185" s="418"/>
      <c r="H185" s="418"/>
      <c r="J185" s="426"/>
    </row>
    <row r="186" spans="2:8" ht="12.75">
      <c r="B186" s="414" t="s">
        <v>469</v>
      </c>
      <c r="C186" s="416"/>
      <c r="D186" s="417"/>
      <c r="E186" s="399">
        <v>12037963</v>
      </c>
      <c r="F186" s="418">
        <v>0</v>
      </c>
      <c r="G186" s="418">
        <f>+H186-F186</f>
        <v>19864894</v>
      </c>
      <c r="H186" s="418">
        <v>19864894</v>
      </c>
    </row>
    <row r="187" spans="2:8" ht="12.75">
      <c r="B187" s="414" t="s">
        <v>470</v>
      </c>
      <c r="C187" s="416"/>
      <c r="D187" s="417"/>
      <c r="E187" s="399">
        <v>851378860.41</v>
      </c>
      <c r="F187" s="418">
        <v>165548968.32</v>
      </c>
      <c r="G187" s="418">
        <f>+H187-F187</f>
        <v>849689030.6800001</v>
      </c>
      <c r="H187" s="418">
        <v>1015237999</v>
      </c>
    </row>
    <row r="188" spans="2:8" ht="11.25">
      <c r="B188" s="427"/>
      <c r="C188" s="428"/>
      <c r="D188" s="429"/>
      <c r="E188" s="430"/>
      <c r="F188" s="430"/>
      <c r="G188" s="430"/>
      <c r="H188" s="430"/>
    </row>
    <row r="189" spans="2:8" ht="12.75">
      <c r="B189" s="431" t="s">
        <v>471</v>
      </c>
      <c r="C189" s="432"/>
      <c r="D189" s="433"/>
      <c r="E189" s="434">
        <f>+E184+E186+E187</f>
        <v>1536009999.79</v>
      </c>
      <c r="F189" s="434">
        <f>+F184+F186+F187</f>
        <v>490971428.57</v>
      </c>
      <c r="G189" s="434">
        <f>+G184+G186+G187</f>
        <v>1582800908.43</v>
      </c>
      <c r="H189" s="434">
        <f>+H184+H186+H187</f>
        <v>2073772337</v>
      </c>
    </row>
    <row r="190" spans="2:8" ht="12.75">
      <c r="B190" s="375"/>
      <c r="C190" s="376"/>
      <c r="D190" s="419"/>
      <c r="E190" s="419"/>
      <c r="F190" s="419"/>
      <c r="G190" s="419"/>
      <c r="H190" s="419"/>
    </row>
    <row r="191" spans="2:8" ht="12.75">
      <c r="B191" s="375"/>
      <c r="C191" s="376"/>
      <c r="D191" s="419"/>
      <c r="E191" s="419"/>
      <c r="F191" s="419"/>
      <c r="G191" s="419"/>
      <c r="H191" s="419"/>
    </row>
    <row r="192" spans="2:8" ht="12.75">
      <c r="B192" s="375"/>
      <c r="C192" s="376"/>
      <c r="D192" s="419"/>
      <c r="E192" s="419"/>
      <c r="F192" s="419"/>
      <c r="G192" s="419"/>
      <c r="H192" s="419"/>
    </row>
    <row r="193" spans="2:8" ht="12.75">
      <c r="B193" s="375"/>
      <c r="C193" s="376"/>
      <c r="D193" s="419"/>
      <c r="E193" s="419"/>
      <c r="F193" s="419"/>
      <c r="G193" s="419"/>
      <c r="H193" s="419"/>
    </row>
    <row r="194" spans="2:8" ht="12.75">
      <c r="B194" s="375"/>
      <c r="C194" s="376"/>
      <c r="D194" s="419"/>
      <c r="E194" s="419"/>
      <c r="F194" s="419"/>
      <c r="G194" s="419"/>
      <c r="H194" s="419"/>
    </row>
    <row r="195" spans="2:8" ht="12.75">
      <c r="B195" s="375"/>
      <c r="C195" s="376"/>
      <c r="D195" s="419"/>
      <c r="E195" s="419"/>
      <c r="F195" s="419"/>
      <c r="G195" s="419"/>
      <c r="H195" s="419"/>
    </row>
    <row r="196" spans="2:8" ht="12.75">
      <c r="B196" s="375"/>
      <c r="C196" s="376"/>
      <c r="D196" s="419"/>
      <c r="E196" s="419"/>
      <c r="F196" s="419"/>
      <c r="G196" s="419"/>
      <c r="H196" s="419"/>
    </row>
    <row r="197" spans="2:8" ht="12.75">
      <c r="B197" s="375"/>
      <c r="C197" s="376"/>
      <c r="D197" s="419"/>
      <c r="E197" s="419"/>
      <c r="F197" s="419"/>
      <c r="G197" s="419"/>
      <c r="H197" s="419"/>
    </row>
    <row r="198" spans="2:8" ht="12.75">
      <c r="B198" s="375"/>
      <c r="C198" s="376"/>
      <c r="D198" s="419"/>
      <c r="E198" s="419"/>
      <c r="F198" s="419"/>
      <c r="G198" s="419"/>
      <c r="H198" s="419"/>
    </row>
    <row r="199" spans="2:8" ht="12.75">
      <c r="B199" s="375"/>
      <c r="C199" s="376"/>
      <c r="D199" s="419"/>
      <c r="E199" s="419"/>
      <c r="F199" s="419"/>
      <c r="G199" s="419"/>
      <c r="H199" s="419"/>
    </row>
    <row r="200" ht="12.75">
      <c r="F200" s="419"/>
    </row>
  </sheetData>
  <sheetProtection/>
  <mergeCells count="5">
    <mergeCell ref="B2:H2"/>
    <mergeCell ref="B3:H3"/>
    <mergeCell ref="B4:H4"/>
    <mergeCell ref="E8:E9"/>
    <mergeCell ref="F8:H8"/>
  </mergeCells>
  <printOptions/>
  <pageMargins left="0.42" right="0.22" top="0.75" bottom="0.75" header="0.3" footer="0.3"/>
  <pageSetup horizontalDpi="600" verticalDpi="600" orientation="portrait" paperSize="9" scale="90" r:id="rId3"/>
  <rowBreaks count="1" manualBreakCount="1">
    <brk id="60" min="1" max="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80" zoomScaleSheetLayoutView="100" zoomScalePageLayoutView="0" workbookViewId="0" topLeftCell="A1">
      <selection activeCell="A4" sqref="A4:L4"/>
    </sheetView>
  </sheetViews>
  <sheetFormatPr defaultColWidth="8.88671875" defaultRowHeight="15"/>
  <cols>
    <col min="1" max="1" width="8.77734375" style="465" customWidth="1"/>
    <col min="2" max="2" width="12.4453125" style="464" customWidth="1"/>
    <col min="3" max="3" width="13.77734375" style="464" customWidth="1"/>
    <col min="4" max="4" width="14.4453125" style="464" customWidth="1"/>
    <col min="5" max="5" width="14.10546875" style="464" customWidth="1"/>
    <col min="6" max="6" width="14.4453125" style="464" customWidth="1"/>
    <col min="7" max="7" width="12.99609375" style="464" customWidth="1"/>
    <col min="8" max="8" width="14.5546875" style="464" customWidth="1"/>
    <col min="9" max="9" width="13.21484375" style="464" customWidth="1"/>
    <col min="10" max="10" width="11.99609375" style="464" customWidth="1"/>
    <col min="11" max="11" width="13.10546875" style="464" customWidth="1"/>
    <col min="12" max="12" width="12.88671875" style="464" customWidth="1"/>
    <col min="13" max="16384" width="8.88671875" style="464" customWidth="1"/>
  </cols>
  <sheetData>
    <row r="1" spans="1:12" ht="15.75">
      <c r="A1" s="463" t="s">
        <v>609</v>
      </c>
      <c r="L1" s="465" t="s">
        <v>610</v>
      </c>
    </row>
    <row r="3" spans="1:12" ht="15.75">
      <c r="A3" s="497" t="s">
        <v>611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5.75">
      <c r="A4" s="498" t="s">
        <v>624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</row>
    <row r="6" ht="15.75">
      <c r="A6" s="463" t="s">
        <v>200</v>
      </c>
    </row>
    <row r="7" ht="15.75">
      <c r="A7" s="463"/>
    </row>
    <row r="9" spans="1:13" ht="15" customHeight="1">
      <c r="A9" s="499" t="s">
        <v>592</v>
      </c>
      <c r="B9" s="499" t="s">
        <v>593</v>
      </c>
      <c r="C9" s="499" t="s">
        <v>594</v>
      </c>
      <c r="D9" s="499" t="s">
        <v>595</v>
      </c>
      <c r="E9" s="443"/>
      <c r="F9" s="501" t="s">
        <v>596</v>
      </c>
      <c r="G9" s="502"/>
      <c r="H9" s="503"/>
      <c r="I9" s="501" t="s">
        <v>619</v>
      </c>
      <c r="J9" s="502"/>
      <c r="K9" s="503"/>
      <c r="L9" s="499" t="s">
        <v>618</v>
      </c>
      <c r="M9" s="444"/>
    </row>
    <row r="10" spans="1:13" ht="18.75" customHeight="1">
      <c r="A10" s="500"/>
      <c r="B10" s="500"/>
      <c r="C10" s="500"/>
      <c r="D10" s="500"/>
      <c r="E10" s="456" t="s">
        <v>612</v>
      </c>
      <c r="F10" s="445" t="s">
        <v>597</v>
      </c>
      <c r="G10" s="445" t="s">
        <v>598</v>
      </c>
      <c r="H10" s="445" t="s">
        <v>25</v>
      </c>
      <c r="I10" s="445" t="s">
        <v>597</v>
      </c>
      <c r="J10" s="457" t="s">
        <v>598</v>
      </c>
      <c r="K10" s="445" t="s">
        <v>25</v>
      </c>
      <c r="L10" s="500"/>
      <c r="M10" s="444"/>
    </row>
    <row r="11" spans="1:13" ht="18.75" customHeight="1">
      <c r="A11" s="446" t="s">
        <v>599</v>
      </c>
      <c r="B11" s="447" t="s">
        <v>600</v>
      </c>
      <c r="C11" s="446" t="s">
        <v>601</v>
      </c>
      <c r="D11" s="446" t="s">
        <v>602</v>
      </c>
      <c r="E11" s="446" t="s">
        <v>603</v>
      </c>
      <c r="F11" s="448" t="s">
        <v>604</v>
      </c>
      <c r="G11" s="449" t="s">
        <v>605</v>
      </c>
      <c r="H11" s="450" t="s">
        <v>613</v>
      </c>
      <c r="I11" s="448" t="s">
        <v>614</v>
      </c>
      <c r="J11" s="451" t="s">
        <v>615</v>
      </c>
      <c r="K11" s="450" t="s">
        <v>616</v>
      </c>
      <c r="L11" s="446" t="s">
        <v>617</v>
      </c>
      <c r="M11" s="444"/>
    </row>
    <row r="12" spans="1:13" s="466" customFormat="1" ht="39.75" customHeight="1">
      <c r="A12" s="458" t="s">
        <v>606</v>
      </c>
      <c r="B12" s="459">
        <v>39434</v>
      </c>
      <c r="C12" s="455" t="s">
        <v>607</v>
      </c>
      <c r="D12" s="437">
        <v>1457922605.08</v>
      </c>
      <c r="E12" s="437" t="s">
        <v>621</v>
      </c>
      <c r="F12" s="437">
        <v>1456561617.08</v>
      </c>
      <c r="G12" s="437">
        <v>30659870.87</v>
      </c>
      <c r="H12" s="436">
        <f>+F12+G12</f>
        <v>1487221487.9499998</v>
      </c>
      <c r="I12" s="437">
        <v>1360988</v>
      </c>
      <c r="J12" s="439">
        <v>10863</v>
      </c>
      <c r="K12" s="437">
        <f>+I12+J12</f>
        <v>1371851</v>
      </c>
      <c r="L12" s="436">
        <f>+D12-F12</f>
        <v>1360988</v>
      </c>
      <c r="M12" s="460"/>
    </row>
    <row r="13" spans="1:13" s="466" customFormat="1" ht="38.25" customHeight="1">
      <c r="A13" s="441" t="s">
        <v>606</v>
      </c>
      <c r="B13" s="461">
        <v>41183</v>
      </c>
      <c r="C13" s="445" t="s">
        <v>607</v>
      </c>
      <c r="D13" s="436">
        <v>728226000</v>
      </c>
      <c r="E13" s="436" t="s">
        <v>622</v>
      </c>
      <c r="F13" s="436">
        <v>491648692.54</v>
      </c>
      <c r="G13" s="436">
        <v>113239327.03</v>
      </c>
      <c r="H13" s="436">
        <f>+F13+G13</f>
        <v>604888019.57</v>
      </c>
      <c r="I13" s="436">
        <v>83497874</v>
      </c>
      <c r="J13" s="439">
        <v>9446317</v>
      </c>
      <c r="K13" s="462">
        <f>+I13+J13</f>
        <v>92944191</v>
      </c>
      <c r="L13" s="436">
        <f>+D13-F13</f>
        <v>236577307.45999998</v>
      </c>
      <c r="M13" s="460"/>
    </row>
    <row r="14" spans="1:13" s="466" customFormat="1" ht="39.75" customHeight="1">
      <c r="A14" s="458" t="s">
        <v>631</v>
      </c>
      <c r="B14" s="445">
        <v>2016</v>
      </c>
      <c r="C14" s="445" t="s">
        <v>620</v>
      </c>
      <c r="D14" s="436">
        <v>10550000</v>
      </c>
      <c r="E14" s="436" t="s">
        <v>623</v>
      </c>
      <c r="F14" s="436">
        <v>1758333.33</v>
      </c>
      <c r="G14" s="436">
        <v>0</v>
      </c>
      <c r="H14" s="436">
        <f>+F14+G14</f>
        <v>1758333.33</v>
      </c>
      <c r="I14" s="436">
        <v>1758333</v>
      </c>
      <c r="J14" s="439">
        <v>0</v>
      </c>
      <c r="K14" s="436">
        <f>+I14</f>
        <v>1758333</v>
      </c>
      <c r="L14" s="436">
        <f>+D14-F14</f>
        <v>8791666.67</v>
      </c>
      <c r="M14" s="460"/>
    </row>
    <row r="15" spans="1:13" s="466" customFormat="1" ht="39.75" customHeight="1">
      <c r="A15" s="473" t="s">
        <v>606</v>
      </c>
      <c r="B15" s="471" t="s">
        <v>632</v>
      </c>
      <c r="C15" s="471" t="s">
        <v>633</v>
      </c>
      <c r="D15" s="438">
        <v>1400000000</v>
      </c>
      <c r="E15" s="438"/>
      <c r="F15" s="438"/>
      <c r="G15" s="438"/>
      <c r="H15" s="438"/>
      <c r="I15" s="438"/>
      <c r="J15" s="472">
        <v>50542820</v>
      </c>
      <c r="K15" s="436">
        <v>50542820</v>
      </c>
      <c r="L15" s="438"/>
      <c r="M15" s="460"/>
    </row>
    <row r="16" spans="1:13" s="454" customFormat="1" ht="32.25" customHeight="1" thickBot="1">
      <c r="A16" s="442" t="s">
        <v>608</v>
      </c>
      <c r="B16" s="452"/>
      <c r="C16" s="452"/>
      <c r="D16" s="440">
        <f>SUM(D12:D15)</f>
        <v>3596698605.08</v>
      </c>
      <c r="E16" s="440"/>
      <c r="F16" s="440">
        <f>SUM(F12:F14)</f>
        <v>1949968642.9499998</v>
      </c>
      <c r="G16" s="440">
        <f aca="true" t="shared" si="0" ref="G16:L16">SUM(G12:G14)</f>
        <v>143899197.9</v>
      </c>
      <c r="H16" s="440">
        <f t="shared" si="0"/>
        <v>2093867840.85</v>
      </c>
      <c r="I16" s="440">
        <f t="shared" si="0"/>
        <v>86617195</v>
      </c>
      <c r="J16" s="440">
        <f>SUM(J12:J15)</f>
        <v>60000000</v>
      </c>
      <c r="K16" s="440">
        <f>SUM(K12:K15)</f>
        <v>146617195</v>
      </c>
      <c r="L16" s="440">
        <f t="shared" si="0"/>
        <v>246729962.12999997</v>
      </c>
      <c r="M16" s="453"/>
    </row>
    <row r="17" spans="1:13" s="469" customFormat="1" ht="18" customHeight="1" thickTop="1">
      <c r="A17" s="467"/>
      <c r="B17" s="467"/>
      <c r="C17" s="467"/>
      <c r="D17" s="470" t="s">
        <v>200</v>
      </c>
      <c r="E17" s="470"/>
      <c r="F17" s="467"/>
      <c r="G17" s="467"/>
      <c r="H17" s="467"/>
      <c r="I17" s="470"/>
      <c r="J17" s="470" t="s">
        <v>200</v>
      </c>
      <c r="K17" s="470" t="s">
        <v>200</v>
      </c>
      <c r="L17" s="470"/>
      <c r="M17" s="468"/>
    </row>
    <row r="18" spans="1:13" s="469" customFormat="1" ht="18" customHeight="1">
      <c r="A18" s="467" t="s">
        <v>625</v>
      </c>
      <c r="B18" s="467"/>
      <c r="C18" s="467"/>
      <c r="D18" s="470"/>
      <c r="E18" s="470"/>
      <c r="F18" s="467"/>
      <c r="G18" s="467"/>
      <c r="H18" s="467"/>
      <c r="I18" s="470"/>
      <c r="J18" s="470" t="s">
        <v>630</v>
      </c>
      <c r="K18" s="470"/>
      <c r="L18" s="470"/>
      <c r="M18" s="468"/>
    </row>
    <row r="19" spans="1:13" s="469" customFormat="1" ht="18" customHeight="1">
      <c r="A19" s="467"/>
      <c r="B19" s="467"/>
      <c r="C19" s="467"/>
      <c r="D19" s="470"/>
      <c r="E19" s="470"/>
      <c r="F19" s="467"/>
      <c r="G19" s="467"/>
      <c r="H19" s="467"/>
      <c r="I19" s="470"/>
      <c r="J19" s="470"/>
      <c r="K19" s="470"/>
      <c r="L19" s="470"/>
      <c r="M19" s="468"/>
    </row>
    <row r="20" spans="1:13" s="469" customFormat="1" ht="18" customHeight="1">
      <c r="A20" s="467"/>
      <c r="B20" s="467"/>
      <c r="C20" s="467"/>
      <c r="D20" s="470"/>
      <c r="E20" s="470"/>
      <c r="F20" s="467"/>
      <c r="G20" s="467"/>
      <c r="H20" s="467"/>
      <c r="I20" s="470"/>
      <c r="J20" s="470"/>
      <c r="K20" s="470"/>
      <c r="L20" s="470"/>
      <c r="M20" s="468"/>
    </row>
    <row r="21" spans="1:13" s="469" customFormat="1" ht="18" customHeight="1">
      <c r="A21" s="467"/>
      <c r="B21" s="467"/>
      <c r="C21" s="467"/>
      <c r="D21" s="470"/>
      <c r="E21" s="470"/>
      <c r="F21" s="467"/>
      <c r="G21" s="467"/>
      <c r="H21" s="467"/>
      <c r="I21" s="470"/>
      <c r="J21" s="470"/>
      <c r="K21" s="470"/>
      <c r="L21" s="470"/>
      <c r="M21" s="468"/>
    </row>
    <row r="22" spans="1:13" s="469" customFormat="1" ht="18" customHeight="1">
      <c r="A22" s="467"/>
      <c r="B22" s="505" t="s">
        <v>626</v>
      </c>
      <c r="C22" s="505"/>
      <c r="D22" s="470"/>
      <c r="E22" s="470"/>
      <c r="F22" s="505" t="s">
        <v>628</v>
      </c>
      <c r="G22" s="505"/>
      <c r="H22" s="467"/>
      <c r="I22" s="470"/>
      <c r="J22" s="505" t="s">
        <v>467</v>
      </c>
      <c r="K22" s="505"/>
      <c r="L22" s="470"/>
      <c r="M22" s="468"/>
    </row>
    <row r="23" spans="1:13" s="469" customFormat="1" ht="18" customHeight="1">
      <c r="A23" s="467"/>
      <c r="B23" s="506" t="s">
        <v>627</v>
      </c>
      <c r="C23" s="506"/>
      <c r="D23" s="470"/>
      <c r="E23" s="470"/>
      <c r="F23" s="506" t="s">
        <v>629</v>
      </c>
      <c r="G23" s="506"/>
      <c r="H23" s="467"/>
      <c r="I23" s="470"/>
      <c r="J23" s="506" t="s">
        <v>468</v>
      </c>
      <c r="K23" s="506"/>
      <c r="L23" s="470"/>
      <c r="M23" s="468"/>
    </row>
    <row r="24" spans="1:13" s="469" customFormat="1" ht="18" customHeight="1">
      <c r="A24" s="467"/>
      <c r="B24" s="467"/>
      <c r="C24" s="467"/>
      <c r="D24" s="470"/>
      <c r="E24" s="470"/>
      <c r="F24" s="467"/>
      <c r="G24" s="467"/>
      <c r="H24" s="467"/>
      <c r="I24" s="470"/>
      <c r="J24" s="470"/>
      <c r="K24" s="470"/>
      <c r="L24" s="470"/>
      <c r="M24" s="468"/>
    </row>
    <row r="25" spans="1:13" s="469" customFormat="1" ht="18" customHeight="1">
      <c r="A25" s="467"/>
      <c r="B25" s="467"/>
      <c r="C25" s="467"/>
      <c r="D25" s="470"/>
      <c r="E25" s="470"/>
      <c r="F25" s="467"/>
      <c r="G25" s="467"/>
      <c r="H25" s="467"/>
      <c r="I25" s="470"/>
      <c r="J25" s="470"/>
      <c r="K25" s="470"/>
      <c r="L25" s="470"/>
      <c r="M25" s="468"/>
    </row>
    <row r="26" spans="1:13" s="469" customFormat="1" ht="18" customHeight="1">
      <c r="A26" s="467"/>
      <c r="B26" s="467"/>
      <c r="C26" s="467"/>
      <c r="D26" s="470"/>
      <c r="E26" s="470"/>
      <c r="F26" s="467"/>
      <c r="G26" s="467"/>
      <c r="H26" s="467"/>
      <c r="I26" s="470"/>
      <c r="J26" s="470"/>
      <c r="K26" s="470"/>
      <c r="L26" s="470"/>
      <c r="M26" s="468"/>
    </row>
    <row r="27" spans="2:6" ht="15.75">
      <c r="B27" s="504"/>
      <c r="C27" s="504"/>
      <c r="D27" s="504"/>
      <c r="E27" s="504"/>
      <c r="F27" s="504"/>
    </row>
  </sheetData>
  <sheetProtection/>
  <mergeCells count="16">
    <mergeCell ref="B27:F27"/>
    <mergeCell ref="B22:C22"/>
    <mergeCell ref="B23:C23"/>
    <mergeCell ref="F22:G22"/>
    <mergeCell ref="F23:G23"/>
    <mergeCell ref="J22:K22"/>
    <mergeCell ref="J23:K23"/>
    <mergeCell ref="A3:L3"/>
    <mergeCell ref="A4:L4"/>
    <mergeCell ref="A9:A10"/>
    <mergeCell ref="B9:B10"/>
    <mergeCell ref="C9:C10"/>
    <mergeCell ref="D9:D10"/>
    <mergeCell ref="F9:H9"/>
    <mergeCell ref="I9:K9"/>
    <mergeCell ref="L9:L10"/>
  </mergeCells>
  <printOptions horizontalCentered="1"/>
  <pageMargins left="0.64" right="0.64" top="0.67" bottom="0.67" header="0.3" footer="0.3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 User</dc:creator>
  <cp:keywords/>
  <dc:description/>
  <cp:lastModifiedBy>Administrator</cp:lastModifiedBy>
  <cp:lastPrinted>2019-10-10T07:05:22Z</cp:lastPrinted>
  <dcterms:created xsi:type="dcterms:W3CDTF">2006-08-11T07:12:04Z</dcterms:created>
  <dcterms:modified xsi:type="dcterms:W3CDTF">2020-02-27T06:46:14Z</dcterms:modified>
  <cp:category/>
  <cp:version/>
  <cp:contentType/>
  <cp:contentStatus/>
</cp:coreProperties>
</file>