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Default Extension="vml" ContentType="application/vnd.openxmlformats-officedocument.vmlDrawing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drawings/drawing1.xml" ContentType="application/vnd.openxmlformats-officedocument.drawing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9425" windowHeight="7740" firstSheet="43" activeTab="43"/>
  </bookViews>
  <sheets>
    <sheet name="Jan" sheetId="1" state="hidden" r:id="rId1"/>
    <sheet name="Feb" sheetId="2" state="hidden" r:id="rId2"/>
    <sheet name="Mar" sheetId="3" state="hidden" r:id="rId3"/>
    <sheet name="April" sheetId="4" state="hidden" r:id="rId4"/>
    <sheet name="May" sheetId="5" state="hidden" r:id="rId5"/>
    <sheet name="June" sheetId="6" state="hidden" r:id="rId6"/>
    <sheet name="July" sheetId="7" state="hidden" r:id="rId7"/>
    <sheet name="August" sheetId="8" state="hidden" r:id="rId8"/>
    <sheet name="September" sheetId="9" state="hidden" r:id="rId9"/>
    <sheet name="October" sheetId="10" state="hidden" r:id="rId10"/>
    <sheet name="November" sheetId="11" state="hidden" r:id="rId11"/>
    <sheet name="December " sheetId="12" state="hidden" r:id="rId12"/>
    <sheet name="January2018" sheetId="13" state="hidden" r:id="rId13"/>
    <sheet name="February2018" sheetId="14" state="hidden" r:id="rId14"/>
    <sheet name="March2018" sheetId="15" state="hidden" r:id="rId15"/>
    <sheet name="April2018" sheetId="16" state="hidden" r:id="rId16"/>
    <sheet name="May 2018" sheetId="17" state="hidden" r:id="rId17"/>
    <sheet name="June 2018" sheetId="18" state="hidden" r:id="rId18"/>
    <sheet name="July 2018" sheetId="19" state="hidden" r:id="rId19"/>
    <sheet name="June2018.estimate (2)" sheetId="20" state="hidden" r:id="rId20"/>
    <sheet name="Aug 2018" sheetId="21" state="hidden" r:id="rId21"/>
    <sheet name="Sept 2018" sheetId="22" state="hidden" r:id="rId22"/>
    <sheet name="October 2018" sheetId="23" state="hidden" r:id="rId23"/>
    <sheet name="Nov2018" sheetId="24" state="hidden" r:id="rId24"/>
    <sheet name="Nov2018 corrected" sheetId="25" state="hidden" r:id="rId25"/>
    <sheet name="Dec2018" sheetId="26" state="hidden" r:id="rId26"/>
    <sheet name="2018 final" sheetId="27" state="hidden" r:id="rId27"/>
    <sheet name="Dec 2018 entries" sheetId="28" state="hidden" r:id="rId28"/>
    <sheet name="January2019" sheetId="29" state="hidden" r:id="rId29"/>
    <sheet name="Feb2019" sheetId="30" state="hidden" r:id="rId30"/>
    <sheet name="Mar2019 estimate" sheetId="31" state="hidden" r:id="rId31"/>
    <sheet name="Mar2019" sheetId="32" state="hidden" r:id="rId32"/>
    <sheet name="April2019" sheetId="33" state="hidden" r:id="rId33"/>
    <sheet name="May 2019" sheetId="34" state="hidden" r:id="rId34"/>
    <sheet name="June 2019" sheetId="35" state="hidden" r:id="rId35"/>
    <sheet name="July 2019" sheetId="36" state="hidden" r:id="rId36"/>
    <sheet name="August 2019" sheetId="37" state="hidden" r:id="rId37"/>
    <sheet name="September 2019" sheetId="38" state="hidden" r:id="rId38"/>
    <sheet name="October 2019" sheetId="39" state="hidden" r:id="rId39"/>
    <sheet name="November 2019" sheetId="40" state="hidden" r:id="rId40"/>
    <sheet name="December 2019" sheetId="41" state="hidden" r:id="rId41"/>
    <sheet name="January 2020" sheetId="42" state="hidden" r:id="rId42"/>
    <sheet name="02.2020" sheetId="43" state="hidden" r:id="rId43"/>
    <sheet name="March" sheetId="44" r:id="rId44"/>
    <sheet name="2017" sheetId="45" state="hidden" r:id="rId45"/>
  </sheets>
  <definedNames>
    <definedName name="_xlnm.Print_Area" localSheetId="42">'02.2020'!$A$1:$L$60</definedName>
    <definedName name="_xlnm.Print_Area" localSheetId="26">'2018 final'!$A$1:$I$68</definedName>
    <definedName name="_xlnm.Print_Area" localSheetId="3">'April'!$A$1:$G$48</definedName>
    <definedName name="_xlnm.Print_Area" localSheetId="15">'April2018'!$A$1:$I$56</definedName>
    <definedName name="_xlnm.Print_Area" localSheetId="32">'April2019'!$A$1:$I$52</definedName>
    <definedName name="_xlnm.Print_Area" localSheetId="20">'Aug 2018'!$A$1:$I$57</definedName>
    <definedName name="_xlnm.Print_Area" localSheetId="7">'August'!$A$1:$G$53</definedName>
    <definedName name="_xlnm.Print_Area" localSheetId="36">'August 2019'!$A$1:$I$62</definedName>
    <definedName name="_xlnm.Print_Area" localSheetId="27">'Dec 2018 entries'!$F$8:$G$27</definedName>
    <definedName name="_xlnm.Print_Area" localSheetId="25">'Dec2018'!$A$1:$I$64</definedName>
    <definedName name="_xlnm.Print_Area" localSheetId="11">'December '!$A$1:$I$59</definedName>
    <definedName name="_xlnm.Print_Area" localSheetId="40">'December 2019'!$A$1:$I$76</definedName>
    <definedName name="_xlnm.Print_Area" localSheetId="1">'Feb'!$A$1:$G$46</definedName>
    <definedName name="_xlnm.Print_Area" localSheetId="29">'Feb2019'!$A$1:$I$52</definedName>
    <definedName name="_xlnm.Print_Area" localSheetId="13">'February2018'!$A$1:$I$53</definedName>
    <definedName name="_xlnm.Print_Area" localSheetId="0">'Jan'!$A$1:$G$46</definedName>
    <definedName name="_xlnm.Print_Area" localSheetId="41">'January 2020'!$A$1:$I$58</definedName>
    <definedName name="_xlnm.Print_Area" localSheetId="12">'January2018'!$A$1:$I$53</definedName>
    <definedName name="_xlnm.Print_Area" localSheetId="28">'January2019'!$A$1:$I$52</definedName>
    <definedName name="_xlnm.Print_Area" localSheetId="6">'July'!$A$1:$G$51</definedName>
    <definedName name="_xlnm.Print_Area" localSheetId="18">'July 2018'!$A$1:$I$57</definedName>
    <definedName name="_xlnm.Print_Area" localSheetId="35">'July 2019'!$A$1:$I$61</definedName>
    <definedName name="_xlnm.Print_Area" localSheetId="5">'June'!$A$1:$G$50</definedName>
    <definedName name="_xlnm.Print_Area" localSheetId="17">'June 2018'!$A$1:$I$57</definedName>
    <definedName name="_xlnm.Print_Area" localSheetId="34">'June 2019'!$A$1:$I$59</definedName>
    <definedName name="_xlnm.Print_Area" localSheetId="19">'June2018.estimate (2)'!$A$1:$I$55</definedName>
    <definedName name="_xlnm.Print_Area" localSheetId="2">'Mar'!$A$1:$G$48</definedName>
    <definedName name="_xlnm.Print_Area" localSheetId="31">'Mar2019'!$A$1:$I$52</definedName>
    <definedName name="_xlnm.Print_Area" localSheetId="30">'Mar2019 estimate'!$A$1:$I$52</definedName>
    <definedName name="_xlnm.Print_Area" localSheetId="43">'March'!$A$1:$L$61</definedName>
    <definedName name="_xlnm.Print_Area" localSheetId="14">'March2018'!$A$1:$I$55</definedName>
    <definedName name="_xlnm.Print_Area" localSheetId="4">'May'!$A$1:$G$50</definedName>
    <definedName name="_xlnm.Print_Area" localSheetId="16">'May 2018'!$A$1:$I$56</definedName>
    <definedName name="_xlnm.Print_Area" localSheetId="33">'May 2019'!$A$1:$I$56</definedName>
    <definedName name="_xlnm.Print_Area" localSheetId="23">'Nov2018'!$A$1:$I$60</definedName>
    <definedName name="_xlnm.Print_Area" localSheetId="24">'Nov2018 corrected'!$A$1:$I$60</definedName>
    <definedName name="_xlnm.Print_Area" localSheetId="10">'November'!$A$1:$G$56</definedName>
    <definedName name="_xlnm.Print_Area" localSheetId="39">'November 2019'!$A$1:$I$69</definedName>
    <definedName name="_xlnm.Print_Area" localSheetId="9">'October'!$A$1:$G$55</definedName>
    <definedName name="_xlnm.Print_Area" localSheetId="22">'October 2018'!$A$1:$I$57</definedName>
    <definedName name="_xlnm.Print_Area" localSheetId="38">'October 2019'!$A$1:$I$68</definedName>
    <definedName name="_xlnm.Print_Area" localSheetId="21">'Sept 2018'!$A$1:$I$57</definedName>
    <definedName name="_xlnm.Print_Area" localSheetId="8">'September'!$A$1:$G$55</definedName>
    <definedName name="_xlnm.Print_Area" localSheetId="37">'September 2019'!$A$1:$I$65</definedName>
    <definedName name="_xlnm.Print_Titles" localSheetId="42">'02.2020'!$8:$10</definedName>
    <definedName name="_xlnm.Print_Titles" localSheetId="26">'2018 final'!$8:$10</definedName>
    <definedName name="_xlnm.Print_Titles" localSheetId="3">'April'!$9:$11</definedName>
    <definedName name="_xlnm.Print_Titles" localSheetId="15">'April2018'!$8:$10</definedName>
    <definedName name="_xlnm.Print_Titles" localSheetId="32">'April2019'!$8:$10</definedName>
    <definedName name="_xlnm.Print_Titles" localSheetId="20">'Aug 2018'!$8:$10</definedName>
    <definedName name="_xlnm.Print_Titles" localSheetId="7">'August'!$9:$11</definedName>
    <definedName name="_xlnm.Print_Titles" localSheetId="36">'August 2019'!$8:$10</definedName>
    <definedName name="_xlnm.Print_Titles" localSheetId="25">'Dec2018'!$8:$10</definedName>
    <definedName name="_xlnm.Print_Titles" localSheetId="11">'December '!$8:$10</definedName>
    <definedName name="_xlnm.Print_Titles" localSheetId="40">'December 2019'!$8:$10</definedName>
    <definedName name="_xlnm.Print_Titles" localSheetId="1">'Feb'!$9:$11</definedName>
    <definedName name="_xlnm.Print_Titles" localSheetId="29">'Feb2019'!$8:$10</definedName>
    <definedName name="_xlnm.Print_Titles" localSheetId="13">'February2018'!$8:$10</definedName>
    <definedName name="_xlnm.Print_Titles" localSheetId="0">'Jan'!$9:$11</definedName>
    <definedName name="_xlnm.Print_Titles" localSheetId="41">'January 2020'!$8:$10</definedName>
    <definedName name="_xlnm.Print_Titles" localSheetId="12">'January2018'!$8:$10</definedName>
    <definedName name="_xlnm.Print_Titles" localSheetId="28">'January2019'!$8:$10</definedName>
    <definedName name="_xlnm.Print_Titles" localSheetId="6">'July'!$9:$11</definedName>
    <definedName name="_xlnm.Print_Titles" localSheetId="18">'July 2018'!$8:$10</definedName>
    <definedName name="_xlnm.Print_Titles" localSheetId="35">'July 2019'!$8:$10</definedName>
    <definedName name="_xlnm.Print_Titles" localSheetId="5">'June'!$9:$11</definedName>
    <definedName name="_xlnm.Print_Titles" localSheetId="17">'June 2018'!$8:$10</definedName>
    <definedName name="_xlnm.Print_Titles" localSheetId="34">'June 2019'!$8:$10</definedName>
    <definedName name="_xlnm.Print_Titles" localSheetId="19">'June2018.estimate (2)'!$8:$10</definedName>
    <definedName name="_xlnm.Print_Titles" localSheetId="2">'Mar'!$9:$11</definedName>
    <definedName name="_xlnm.Print_Titles" localSheetId="31">'Mar2019'!$8:$10</definedName>
    <definedName name="_xlnm.Print_Titles" localSheetId="30">'Mar2019 estimate'!$8:$10</definedName>
    <definedName name="_xlnm.Print_Titles" localSheetId="43">'March'!$8:$10</definedName>
    <definedName name="_xlnm.Print_Titles" localSheetId="14">'March2018'!$8:$10</definedName>
    <definedName name="_xlnm.Print_Titles" localSheetId="4">'May'!$9:$11</definedName>
    <definedName name="_xlnm.Print_Titles" localSheetId="16">'May 2018'!$8:$10</definedName>
    <definedName name="_xlnm.Print_Titles" localSheetId="33">'May 2019'!$8:$10</definedName>
    <definedName name="_xlnm.Print_Titles" localSheetId="23">'Nov2018'!$8:$10</definedName>
    <definedName name="_xlnm.Print_Titles" localSheetId="24">'Nov2018 corrected'!$8:$10</definedName>
    <definedName name="_xlnm.Print_Titles" localSheetId="10">'November'!$8:$10</definedName>
    <definedName name="_xlnm.Print_Titles" localSheetId="39">'November 2019'!$8:$10</definedName>
    <definedName name="_xlnm.Print_Titles" localSheetId="9">'October'!$8:$10</definedName>
    <definedName name="_xlnm.Print_Titles" localSheetId="22">'October 2018'!$8:$10</definedName>
    <definedName name="_xlnm.Print_Titles" localSheetId="38">'October 2019'!$8:$10</definedName>
    <definedName name="_xlnm.Print_Titles" localSheetId="21">'Sept 2018'!$8:$10</definedName>
    <definedName name="_xlnm.Print_Titles" localSheetId="8">'September'!$9:$11</definedName>
    <definedName name="_xlnm.Print_Titles" localSheetId="37">'September 2019'!$8:$10</definedName>
  </definedNames>
  <calcPr fullCalcOnLoad="1"/>
</workbook>
</file>

<file path=xl/comments43.xml><?xml version="1.0" encoding="utf-8"?>
<comments xmlns="http://schemas.openxmlformats.org/spreadsheetml/2006/main">
  <authors>
    <author>ophilia dalonos</author>
  </authors>
  <commentList>
    <comment ref="D42" authorId="0">
      <text>
        <r>
          <rPr>
            <b/>
            <sz val="9"/>
            <rFont val="Tahoma"/>
            <family val="2"/>
          </rPr>
          <t>ophilia dalonos:</t>
        </r>
        <r>
          <rPr>
            <sz val="9"/>
            <rFont val="Tahoma"/>
            <family val="2"/>
          </rPr>
          <t xml:space="preserve">
salaries of contractual</t>
        </r>
      </text>
    </comment>
  </commentList>
</comments>
</file>

<file path=xl/comments44.xml><?xml version="1.0" encoding="utf-8"?>
<comments xmlns="http://schemas.openxmlformats.org/spreadsheetml/2006/main">
  <authors>
    <author>ophilia dalonos</author>
  </authors>
  <commentList>
    <comment ref="D42" authorId="0">
      <text>
        <r>
          <rPr>
            <b/>
            <sz val="9"/>
            <rFont val="Tahoma"/>
            <family val="2"/>
          </rPr>
          <t>ophilia dalonos:</t>
        </r>
        <r>
          <rPr>
            <sz val="9"/>
            <rFont val="Tahoma"/>
            <family val="2"/>
          </rPr>
          <t xml:space="preserve">
salaries of contractual</t>
        </r>
      </text>
    </comment>
  </commentList>
</comments>
</file>

<file path=xl/sharedStrings.xml><?xml version="1.0" encoding="utf-8"?>
<sst xmlns="http://schemas.openxmlformats.org/spreadsheetml/2006/main" count="2539" uniqueCount="215">
  <si>
    <t>FDP Form &amp; Local Disaster Risk Reduction and Management Fund Utilization</t>
  </si>
  <si>
    <t>(COA Form)</t>
  </si>
  <si>
    <t>LOCAL DISASTER RISK REDUCTION AND MANAGEMENT FUND UTILIZATION</t>
  </si>
  <si>
    <t xml:space="preserve">CITY GOVERNMENT OF PUERTO PRINCESA </t>
  </si>
  <si>
    <t>Particulars</t>
  </si>
  <si>
    <t>LDRRMF</t>
  </si>
  <si>
    <t>NDRRMF</t>
  </si>
  <si>
    <t>MOA/Project / Agreement</t>
  </si>
  <si>
    <t>Remarks</t>
  </si>
  <si>
    <t>Quick Response Fund (QRF)</t>
  </si>
  <si>
    <t>Mitigation Fund</t>
  </si>
  <si>
    <t>From Other LGU's</t>
  </si>
  <si>
    <t>Total</t>
  </si>
  <si>
    <t>Ref No. (If any)</t>
  </si>
  <si>
    <t>A. Sources of Funds</t>
  </si>
  <si>
    <t xml:space="preserve">     Current Appropriation</t>
  </si>
  <si>
    <t xml:space="preserve">     Continuing Appropriation</t>
  </si>
  <si>
    <t xml:space="preserve">     Previous Year's  Appropriation</t>
  </si>
  <si>
    <t xml:space="preserve">       Appropriation </t>
  </si>
  <si>
    <t xml:space="preserve">       transferred to the </t>
  </si>
  <si>
    <t xml:space="preserve">       Special Trust Fund</t>
  </si>
  <si>
    <t>Transfers/Grants</t>
  </si>
  <si>
    <t xml:space="preserve">Others: </t>
  </si>
  <si>
    <t>Total Funds Available</t>
  </si>
  <si>
    <t>B. Utilization</t>
  </si>
  <si>
    <t xml:space="preserve">      Medicines</t>
  </si>
  <si>
    <t xml:space="preserve">      Food Supplies</t>
  </si>
  <si>
    <t xml:space="preserve">      Repair of Evacuation Center</t>
  </si>
  <si>
    <t xml:space="preserve">      Institutional/Capacity Development</t>
  </si>
  <si>
    <t xml:space="preserve">      Trainings</t>
  </si>
  <si>
    <t xml:space="preserve">      assessment &amp; other related activities )</t>
  </si>
  <si>
    <t xml:space="preserve">     Construction of Evacuation Center</t>
  </si>
  <si>
    <t xml:space="preserve">     Equipment</t>
  </si>
  <si>
    <t xml:space="preserve">     Transfers to other LGU's</t>
  </si>
  <si>
    <t xml:space="preserve">      Others (Pls. specify)</t>
  </si>
  <si>
    <t>Total Utilization</t>
  </si>
  <si>
    <t>Unutilized Balance</t>
  </si>
  <si>
    <t>I hereby certify that I have reviewed the contents and hereby attest to the veracity and</t>
  </si>
  <si>
    <t>correctness of the data or information contained in this document.</t>
  </si>
  <si>
    <t>As of January 2017</t>
  </si>
  <si>
    <t>From other Sources</t>
  </si>
  <si>
    <t>ROSALIA B. ORTIZ</t>
  </si>
  <si>
    <t>Asisstant City Accountant</t>
  </si>
  <si>
    <t>Acting City Accountant</t>
  </si>
  <si>
    <t>As of February 2017</t>
  </si>
  <si>
    <t xml:space="preserve">      Travelling Expenses</t>
  </si>
  <si>
    <t xml:space="preserve">      Training Expenses</t>
  </si>
  <si>
    <t xml:space="preserve">      Telephone Expenses</t>
  </si>
  <si>
    <t>As of March 2017</t>
  </si>
  <si>
    <t>Beginning Cash Balance</t>
  </si>
  <si>
    <t>based on budget</t>
  </si>
  <si>
    <t>As of April 2017</t>
  </si>
  <si>
    <t>January</t>
  </si>
  <si>
    <t>March</t>
  </si>
  <si>
    <t>April</t>
  </si>
  <si>
    <t>Telephone</t>
  </si>
  <si>
    <t>May</t>
  </si>
  <si>
    <t>Office Supplies</t>
  </si>
  <si>
    <t xml:space="preserve">Training </t>
  </si>
  <si>
    <t>June</t>
  </si>
  <si>
    <t>MOOE</t>
  </si>
  <si>
    <t>CO</t>
  </si>
  <si>
    <t>As of May 2017</t>
  </si>
  <si>
    <t xml:space="preserve">     Office Supplies</t>
  </si>
  <si>
    <t xml:space="preserve">           2 units 4x2/T Rescue Tender Vehicle (2015)</t>
  </si>
  <si>
    <t>Travel</t>
  </si>
  <si>
    <t>2 units 4x2/T Rescue Tender Vehicle (2015)</t>
  </si>
  <si>
    <t>February</t>
  </si>
  <si>
    <t xml:space="preserve">     Current Appropriation*</t>
  </si>
  <si>
    <t>*amounts are based on 2017 Annual General Fund Budget</t>
  </si>
  <si>
    <t>CHARLITO B. PADUL</t>
  </si>
  <si>
    <t>Asisstant City Budget Officer</t>
  </si>
  <si>
    <t>As of June 2017</t>
  </si>
  <si>
    <t>As of July 2017</t>
  </si>
  <si>
    <t>As of August 2017</t>
  </si>
  <si>
    <t>As of September 2017</t>
  </si>
  <si>
    <t xml:space="preserve">           Completion of Covered Court / Evacuation Center @ Bgy. Napsan (2015)</t>
  </si>
  <si>
    <t xml:space="preserve">   1 unit Remenufactured Truck with Manlift, 1 unit Remanufactured Dropside Truck with Thermo Plastic Roofing</t>
  </si>
  <si>
    <t xml:space="preserve">             Meals and Snacks</t>
  </si>
  <si>
    <t xml:space="preserve">             Training Materials</t>
  </si>
  <si>
    <t xml:space="preserve">             Training Supplies</t>
  </si>
  <si>
    <t xml:space="preserve">      Telephone/Communication Expenses</t>
  </si>
  <si>
    <t xml:space="preserve">   1 unit Remenufactured Truck with Manlift, 1 unit Remanufactured Dropside Truck with Thermo Plastic Roofing (2015)</t>
  </si>
  <si>
    <t xml:space="preserve">           2 units Ambulance (2015)</t>
  </si>
  <si>
    <t xml:space="preserve">           3 units of Relay /Repeater tower w/ repeater system (296,000 each)</t>
  </si>
  <si>
    <t>As of October 2017</t>
  </si>
  <si>
    <t>As of November 2017</t>
  </si>
  <si>
    <t xml:space="preserve">           1 unit laptop and 1 unit Inforblast Machine Processor</t>
  </si>
  <si>
    <t>As of December 2017</t>
  </si>
  <si>
    <t xml:space="preserve">      Office Supplies </t>
  </si>
  <si>
    <t xml:space="preserve">      Printing and Publication </t>
  </si>
  <si>
    <t xml:space="preserve">      Advertising </t>
  </si>
  <si>
    <t xml:space="preserve">     Other Supplies and Materials </t>
  </si>
  <si>
    <t xml:space="preserve">*amounts are based on 2017 Annual General Fund Budget and Supplemental Budget </t>
  </si>
  <si>
    <t>As of January 2018</t>
  </si>
  <si>
    <t xml:space="preserve">*amounts are based on 2018 Annual General Fund Budget and Supplemental Budget </t>
  </si>
  <si>
    <t xml:space="preserve">           CCTV Cameras</t>
  </si>
  <si>
    <t xml:space="preserve">           2 units Dry Van Container</t>
  </si>
  <si>
    <t>As of February 2018</t>
  </si>
  <si>
    <t>As of March 2018</t>
  </si>
  <si>
    <t xml:space="preserve">           2 units Dry Van Container (2017)</t>
  </si>
  <si>
    <t xml:space="preserve">           CCTV Cameras (2017)</t>
  </si>
  <si>
    <t xml:space="preserve">      Financial Assistance</t>
  </si>
  <si>
    <t xml:space="preserve">           Single Line Extension at Bgy. Tagburos for relocation site of </t>
  </si>
  <si>
    <t xml:space="preserve">           Bgy. Bagong Silang (2016)</t>
  </si>
  <si>
    <t>As of June 2018</t>
  </si>
  <si>
    <t>Single Line Extension at Bgy. Tagburos for relocation site of Bgy.                                                         Bagong Silang (2016)</t>
  </si>
  <si>
    <t xml:space="preserve">      Salaries Expense (Other General Services)</t>
  </si>
  <si>
    <t>As of April 2018</t>
  </si>
  <si>
    <t>As of May 2018</t>
  </si>
  <si>
    <t xml:space="preserve">      Water Expenses</t>
  </si>
  <si>
    <t>2 units vibratory compactor</t>
  </si>
  <si>
    <t>As of July 2018</t>
  </si>
  <si>
    <t>Inventory (office supplies)</t>
  </si>
  <si>
    <t xml:space="preserve">July </t>
  </si>
  <si>
    <t>Inventory (food supplies)</t>
  </si>
  <si>
    <t>As of August 2018</t>
  </si>
  <si>
    <t>Aug</t>
  </si>
  <si>
    <t>Inventory (medicines)</t>
  </si>
  <si>
    <t>As of September 2018</t>
  </si>
  <si>
    <t>As of October 2018</t>
  </si>
  <si>
    <t>As of November 2018</t>
  </si>
  <si>
    <t xml:space="preserve">      Fuel, Oil and Lubricants</t>
  </si>
  <si>
    <t>4x4 Pick Up</t>
  </si>
  <si>
    <t>Portable Water Pump</t>
  </si>
  <si>
    <t>As of December 2018</t>
  </si>
  <si>
    <t xml:space="preserve">           Bagong Silang Relocation Site</t>
  </si>
  <si>
    <t>2 units response vehicle with medical transport capability</t>
  </si>
  <si>
    <t xml:space="preserve">      Other Supplies and Materials</t>
  </si>
  <si>
    <t xml:space="preserve">      Other General Services</t>
  </si>
  <si>
    <t xml:space="preserve">      Repairs and Maintenance - Machinery and Equipment</t>
  </si>
  <si>
    <t xml:space="preserve">      Repairs and Maintenance - Transportation Equipment</t>
  </si>
  <si>
    <t xml:space="preserve">      Financial Assistance - Subsidies</t>
  </si>
  <si>
    <t xml:space="preserve">      Other Maintenance and Operating Expenses</t>
  </si>
  <si>
    <t>Trust Fund</t>
  </si>
  <si>
    <t>JEV-2018-12-003349</t>
  </si>
  <si>
    <t>Available MOOE (per budget)</t>
  </si>
  <si>
    <t>Utilized</t>
  </si>
  <si>
    <t>Balance</t>
  </si>
  <si>
    <t>Quick Response Fund (no disaster for the year)</t>
  </si>
  <si>
    <t>Amount to be transferred</t>
  </si>
  <si>
    <t>General Fund</t>
  </si>
  <si>
    <t>JEV-2018-12-020465</t>
  </si>
  <si>
    <t>Actual Transfer</t>
  </si>
  <si>
    <t>for voucher</t>
  </si>
  <si>
    <t>As of January 2019</t>
  </si>
  <si>
    <t xml:space="preserve">     Continuing Appropriation**</t>
  </si>
  <si>
    <t xml:space="preserve">*amounts are based on 2019 Annual General Fund Budget and Supplemental Budget </t>
  </si>
  <si>
    <t xml:space="preserve">**amounts are based on SAAOB (Continuing) as of December 31, 2018 </t>
  </si>
  <si>
    <t xml:space="preserve">       transferred to the Trust Fund</t>
  </si>
  <si>
    <t>Assistant City Accountant</t>
  </si>
  <si>
    <t>I hereby certify that I have reviewed the contents and hereby attest to the veracity and correctness of the data or information contained in this document.</t>
  </si>
  <si>
    <t>As of February 2019</t>
  </si>
  <si>
    <t>As of March 2019</t>
  </si>
  <si>
    <t>total projected receipts</t>
  </si>
  <si>
    <t>EXPENSE CODE: 9991</t>
  </si>
  <si>
    <t>City Accountant</t>
  </si>
  <si>
    <t>As of April 2019</t>
  </si>
  <si>
    <t xml:space="preserve">      Internet Supplies </t>
  </si>
  <si>
    <t xml:space="preserve">        a. Resource Speaker</t>
  </si>
  <si>
    <t xml:space="preserve">        b. Meals</t>
  </si>
  <si>
    <t>As of May 2019</t>
  </si>
  <si>
    <t xml:space="preserve">      Encoders' Incentive</t>
  </si>
  <si>
    <t>As of June 2019</t>
  </si>
  <si>
    <t xml:space="preserve">      Manual Editors' Incentive</t>
  </si>
  <si>
    <t xml:space="preserve">      Training Expenses (conducted)</t>
  </si>
  <si>
    <t xml:space="preserve">      Training Expenses (attended)</t>
  </si>
  <si>
    <t xml:space="preserve">         Fire Truck (4 ,000 liters capacity)</t>
  </si>
  <si>
    <t>As of July 2019</t>
  </si>
  <si>
    <t xml:space="preserve">      Fuel, Oil and Lubricants Expenses</t>
  </si>
  <si>
    <t xml:space="preserve">      Janitorial Supplies</t>
  </si>
  <si>
    <t xml:space="preserve">        b. Meals and snacks</t>
  </si>
  <si>
    <t xml:space="preserve">         Truck (six-wheeler with manlift)</t>
  </si>
  <si>
    <t xml:space="preserve">      Citywide Household and  establishment survey and mapping </t>
  </si>
  <si>
    <t>As of August 2019</t>
  </si>
  <si>
    <t xml:space="preserve">      Internet Expenses</t>
  </si>
  <si>
    <t xml:space="preserve">        c. Training Materials</t>
  </si>
  <si>
    <t>As of September 2019</t>
  </si>
  <si>
    <t xml:space="preserve">         Solar-powered early warning system</t>
  </si>
  <si>
    <t xml:space="preserve">      Financial Assistance to Fire Victims (Bgy. San Manuel)</t>
  </si>
  <si>
    <t xml:space="preserve">     Other MOOE</t>
  </si>
  <si>
    <t xml:space="preserve">         Freezer refrigerator</t>
  </si>
  <si>
    <t xml:space="preserve">      Office Supplies</t>
  </si>
  <si>
    <t xml:space="preserve">         Office Supplies</t>
  </si>
  <si>
    <t>As of October 2019</t>
  </si>
  <si>
    <t>As of November 2019</t>
  </si>
  <si>
    <t xml:space="preserve">        b. Meals, snacks and venue</t>
  </si>
  <si>
    <t xml:space="preserve">      Financial assistance to the Local Government of Makilala North Cotabato which was affected by magnitude 6.5 earthquake</t>
  </si>
  <si>
    <t xml:space="preserve">         Various Office Equipment</t>
  </si>
  <si>
    <t xml:space="preserve">         IT Equipment</t>
  </si>
  <si>
    <t xml:space="preserve">         38 units backpack petrol mistblower</t>
  </si>
  <si>
    <t xml:space="preserve">         Solar power back-up system</t>
  </si>
  <si>
    <t xml:space="preserve">         4 units 20 footer container van</t>
  </si>
  <si>
    <t xml:space="preserve">      Welfare Goods Expenses</t>
  </si>
  <si>
    <t xml:space="preserve">      Drugs and Medicines Expenses</t>
  </si>
  <si>
    <t xml:space="preserve">      Medical, Dental and Laboratory Supplies Expenses</t>
  </si>
  <si>
    <t xml:space="preserve">      Financial Assistance to Fire Victims (Bgy. San Miguel)</t>
  </si>
  <si>
    <t xml:space="preserve">      Financial Assistance to Fire Victims (Bgy. Tinuigiban)</t>
  </si>
  <si>
    <t xml:space="preserve">      Other Supplies and Materials </t>
  </si>
  <si>
    <t xml:space="preserve">      Other MOOE</t>
  </si>
  <si>
    <t xml:space="preserve">      Repairs and Maintenance - Machinery and Equipment </t>
  </si>
  <si>
    <t xml:space="preserve">      Construction of Evacuation Center</t>
  </si>
  <si>
    <t xml:space="preserve">     Others (Pls. specify)</t>
  </si>
  <si>
    <t>As of December 2019</t>
  </si>
  <si>
    <t xml:space="preserve">     Citywide Household and  establishment survey and mapping  Encoders' Incentive/ Manual Editors' Incentive</t>
  </si>
  <si>
    <t>As of January 2020</t>
  </si>
  <si>
    <t>**amounts are based on SAAOB (Continuing) as of December 31, 2019</t>
  </si>
  <si>
    <t>*amounts are based on General Appropriation Ordinance No. 01-2019 (2020 Annual General Fund Budget)</t>
  </si>
  <si>
    <t>As of February 2020</t>
  </si>
  <si>
    <t>JANUARY</t>
  </si>
  <si>
    <t>FEBRUARY</t>
  </si>
  <si>
    <t>&lt;vacant&gt;</t>
  </si>
  <si>
    <t xml:space="preserve">     Financial Assistance for Fire Victims (Bgy. Sta. Monica)</t>
  </si>
  <si>
    <t>As of March 2020</t>
  </si>
  <si>
    <t xml:space="preserve">     Financial Assistance for the Pandemic COVID-2019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</si>
</sst>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sz val="7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 Light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.5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64" fontId="0" fillId="0" borderId="13" xfId="42" applyFont="1" applyBorder="1" applyAlignment="1">
      <alignment/>
    </xf>
    <xf numFmtId="164" fontId="0" fillId="0" borderId="0" xfId="42" applyFont="1" applyBorder="1" applyAlignment="1">
      <alignment/>
    </xf>
    <xf numFmtId="164" fontId="0" fillId="0" borderId="13" xfId="42" applyFont="1" applyFill="1" applyBorder="1" applyAlignment="1">
      <alignment/>
    </xf>
    <xf numFmtId="164" fontId="0" fillId="0" borderId="14" xfId="42" applyFont="1" applyBorder="1" applyAlignment="1">
      <alignment/>
    </xf>
    <xf numFmtId="164" fontId="43" fillId="0" borderId="11" xfId="42" applyFont="1" applyFill="1" applyBorder="1" applyAlignment="1">
      <alignment/>
    </xf>
    <xf numFmtId="164" fontId="0" fillId="0" borderId="11" xfId="42" applyFont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42" applyFont="1" applyFill="1" applyBorder="1" applyAlignment="1">
      <alignment/>
    </xf>
    <xf numFmtId="0" fontId="0" fillId="33" borderId="0" xfId="0" applyFill="1" applyAlignment="1">
      <alignment/>
    </xf>
    <xf numFmtId="164" fontId="0" fillId="33" borderId="0" xfId="42" applyFont="1" applyFill="1" applyAlignment="1">
      <alignment/>
    </xf>
    <xf numFmtId="164" fontId="41" fillId="0" borderId="13" xfId="42" applyFont="1" applyBorder="1" applyAlignment="1">
      <alignment/>
    </xf>
    <xf numFmtId="164" fontId="0" fillId="0" borderId="0" xfId="42" applyFont="1" applyAlignment="1">
      <alignment/>
    </xf>
    <xf numFmtId="0" fontId="41" fillId="0" borderId="0" xfId="0" applyFont="1" applyFill="1" applyBorder="1" applyAlignment="1">
      <alignment/>
    </xf>
    <xf numFmtId="164" fontId="41" fillId="0" borderId="0" xfId="42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4" fontId="0" fillId="33" borderId="14" xfId="42" applyFont="1" applyFill="1" applyBorder="1" applyAlignment="1">
      <alignment/>
    </xf>
    <xf numFmtId="0" fontId="41" fillId="0" borderId="16" xfId="0" applyFont="1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42" applyFont="1" applyBorder="1" applyAlignment="1">
      <alignment/>
    </xf>
    <xf numFmtId="0" fontId="0" fillId="33" borderId="16" xfId="0" applyFill="1" applyBorder="1" applyAlignment="1">
      <alignment/>
    </xf>
    <xf numFmtId="164" fontId="0" fillId="33" borderId="17" xfId="42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4" fontId="41" fillId="0" borderId="17" xfId="42" applyFont="1" applyBorder="1" applyAlignment="1">
      <alignment/>
    </xf>
    <xf numFmtId="0" fontId="41" fillId="0" borderId="21" xfId="0" applyFont="1" applyFill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41" fillId="0" borderId="22" xfId="42" applyFont="1" applyBorder="1" applyAlignment="1">
      <alignment/>
    </xf>
    <xf numFmtId="164" fontId="0" fillId="0" borderId="22" xfId="42" applyFont="1" applyBorder="1" applyAlignment="1">
      <alignment/>
    </xf>
    <xf numFmtId="164" fontId="41" fillId="0" borderId="23" xfId="42" applyFont="1" applyBorder="1" applyAlignment="1">
      <alignment/>
    </xf>
    <xf numFmtId="0" fontId="4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164" fontId="45" fillId="0" borderId="0" xfId="42" applyFont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42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164" fontId="0" fillId="0" borderId="0" xfId="42" applyFont="1" applyAlignment="1">
      <alignment horizontal="center"/>
    </xf>
    <xf numFmtId="164" fontId="41" fillId="0" borderId="0" xfId="42" applyFont="1" applyAlignment="1">
      <alignment horizontal="center"/>
    </xf>
    <xf numFmtId="164" fontId="0" fillId="0" borderId="0" xfId="42" applyFont="1" applyAlignment="1">
      <alignment horizontal="left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9" fontId="0" fillId="0" borderId="25" xfId="0" applyNumberFormat="1" applyFill="1" applyBorder="1" applyAlignment="1">
      <alignment horizontal="center" vertical="center"/>
    </xf>
    <xf numFmtId="9" fontId="0" fillId="0" borderId="27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41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4" xfId="42" applyFont="1" applyFill="1" applyBorder="1" applyAlignment="1">
      <alignment/>
    </xf>
    <xf numFmtId="164" fontId="0" fillId="0" borderId="11" xfId="42" applyFont="1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164" fontId="41" fillId="0" borderId="1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41" fillId="0" borderId="17" xfId="42" applyFont="1" applyFill="1" applyBorder="1" applyAlignment="1">
      <alignment/>
    </xf>
    <xf numFmtId="164" fontId="41" fillId="0" borderId="22" xfId="42" applyFont="1" applyFill="1" applyBorder="1" applyAlignment="1">
      <alignment/>
    </xf>
    <xf numFmtId="164" fontId="0" fillId="0" borderId="22" xfId="42" applyFont="1" applyFill="1" applyBorder="1" applyAlignment="1">
      <alignment/>
    </xf>
    <xf numFmtId="164" fontId="41" fillId="0" borderId="2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0" fillId="0" borderId="12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28" xfId="0" applyFill="1" applyBorder="1" applyAlignment="1">
      <alignment horizontal="left" vertical="center" wrapText="1" indent="4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2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28" xfId="0" applyFill="1" applyBorder="1" applyAlignment="1">
      <alignment horizontal="left" vertical="center" wrapText="1" indent="4"/>
    </xf>
    <xf numFmtId="164" fontId="0" fillId="0" borderId="0" xfId="42" applyFont="1" applyFill="1" applyAlignment="1">
      <alignment/>
    </xf>
    <xf numFmtId="164" fontId="0" fillId="0" borderId="0" xfId="42" applyFont="1" applyAlignment="1">
      <alignment horizontal="right"/>
    </xf>
    <xf numFmtId="164" fontId="0" fillId="0" borderId="12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28" xfId="0" applyFill="1" applyBorder="1" applyAlignment="1">
      <alignment horizontal="left" vertical="center" wrapText="1" indent="4"/>
    </xf>
    <xf numFmtId="164" fontId="0" fillId="0" borderId="12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28" xfId="0" applyFill="1" applyBorder="1" applyAlignment="1">
      <alignment horizontal="left" vertical="center" wrapText="1" indent="4"/>
    </xf>
    <xf numFmtId="164" fontId="0" fillId="0" borderId="12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28" xfId="0" applyFill="1" applyBorder="1" applyAlignment="1">
      <alignment horizontal="left" vertical="center" wrapText="1" indent="4"/>
    </xf>
    <xf numFmtId="164" fontId="0" fillId="0" borderId="12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28" xfId="0" applyFill="1" applyBorder="1" applyAlignment="1">
      <alignment horizontal="left" vertical="center" wrapText="1" indent="4"/>
    </xf>
    <xf numFmtId="164" fontId="0" fillId="0" borderId="12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28" xfId="0" applyFill="1" applyBorder="1" applyAlignment="1">
      <alignment horizontal="left" vertical="center" wrapText="1" indent="4"/>
    </xf>
    <xf numFmtId="0" fontId="0" fillId="0" borderId="0" xfId="0" applyAlignment="1">
      <alignment horizontal="center"/>
    </xf>
    <xf numFmtId="164" fontId="41" fillId="0" borderId="0" xfId="42" applyFont="1" applyAlignment="1">
      <alignment/>
    </xf>
    <xf numFmtId="164" fontId="0" fillId="0" borderId="29" xfId="42" applyFont="1" applyBorder="1" applyAlignment="1">
      <alignment/>
    </xf>
    <xf numFmtId="164" fontId="0" fillId="0" borderId="0" xfId="42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29" xfId="42" applyFont="1" applyBorder="1" applyAlignment="1">
      <alignment vertical="center" wrapText="1"/>
    </xf>
    <xf numFmtId="164" fontId="41" fillId="0" borderId="30" xfId="42" applyFont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164" fontId="0" fillId="0" borderId="3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4" fontId="44" fillId="0" borderId="0" xfId="0" applyNumberFormat="1" applyFont="1" applyAlignment="1">
      <alignment/>
    </xf>
    <xf numFmtId="164" fontId="9" fillId="0" borderId="0" xfId="0" applyNumberFormat="1" applyFont="1" applyAlignment="1">
      <alignment horizontal="right"/>
    </xf>
    <xf numFmtId="164" fontId="0" fillId="34" borderId="0" xfId="42" applyFont="1" applyFill="1" applyAlignment="1">
      <alignment/>
    </xf>
    <xf numFmtId="164" fontId="0" fillId="34" borderId="0" xfId="0" applyNumberFormat="1" applyFill="1" applyAlignment="1">
      <alignment/>
    </xf>
    <xf numFmtId="0" fontId="0" fillId="0" borderId="16" xfId="0" applyFill="1" applyBorder="1" applyAlignment="1">
      <alignment horizontal="left" wrapText="1"/>
    </xf>
    <xf numFmtId="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30" xfId="0" applyNumberFormat="1" applyFill="1" applyBorder="1" applyAlignment="1">
      <alignment/>
    </xf>
    <xf numFmtId="164" fontId="41" fillId="0" borderId="0" xfId="42" applyFont="1" applyFill="1" applyBorder="1" applyAlignment="1">
      <alignment/>
    </xf>
    <xf numFmtId="164" fontId="0" fillId="0" borderId="0" xfId="42" applyFont="1" applyFill="1" applyBorder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164" fontId="9" fillId="0" borderId="0" xfId="0" applyNumberFormat="1" applyFont="1" applyFill="1" applyAlignment="1">
      <alignment horizontal="right"/>
    </xf>
    <xf numFmtId="0" fontId="0" fillId="0" borderId="16" xfId="0" applyFill="1" applyBorder="1" applyAlignment="1">
      <alignment wrapText="1"/>
    </xf>
    <xf numFmtId="0" fontId="0" fillId="16" borderId="0" xfId="0" applyFill="1" applyAlignment="1">
      <alignment/>
    </xf>
    <xf numFmtId="0" fontId="0" fillId="16" borderId="0" xfId="0" applyFill="1" applyBorder="1" applyAlignment="1">
      <alignment horizontal="center" vertical="center" wrapText="1"/>
    </xf>
    <xf numFmtId="0" fontId="0" fillId="16" borderId="12" xfId="0" applyFill="1" applyBorder="1" applyAlignment="1">
      <alignment/>
    </xf>
    <xf numFmtId="164" fontId="0" fillId="16" borderId="13" xfId="42" applyFont="1" applyFill="1" applyBorder="1" applyAlignment="1">
      <alignment/>
    </xf>
    <xf numFmtId="164" fontId="0" fillId="16" borderId="12" xfId="42" applyFont="1" applyFill="1" applyBorder="1" applyAlignment="1">
      <alignment/>
    </xf>
    <xf numFmtId="164" fontId="41" fillId="16" borderId="13" xfId="42" applyFont="1" applyFill="1" applyBorder="1" applyAlignment="1">
      <alignment/>
    </xf>
    <xf numFmtId="164" fontId="41" fillId="16" borderId="22" xfId="42" applyFont="1" applyFill="1" applyBorder="1" applyAlignment="1">
      <alignment/>
    </xf>
    <xf numFmtId="9" fontId="46" fillId="16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37" xfId="0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42" applyFont="1" applyBorder="1" applyAlignment="1">
      <alignment horizontal="center" vertical="center"/>
    </xf>
    <xf numFmtId="164" fontId="0" fillId="0" borderId="1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 vertical="center"/>
    </xf>
    <xf numFmtId="164" fontId="0" fillId="0" borderId="41" xfId="42" applyFont="1" applyFill="1" applyBorder="1" applyAlignment="1">
      <alignment horizontal="center" vertical="center"/>
    </xf>
    <xf numFmtId="164" fontId="0" fillId="0" borderId="42" xfId="42" applyFont="1" applyFill="1" applyBorder="1" applyAlignment="1">
      <alignment horizontal="center" vertical="center"/>
    </xf>
    <xf numFmtId="164" fontId="0" fillId="0" borderId="20" xfId="42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wrapText="1"/>
    </xf>
    <xf numFmtId="164" fontId="41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2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164" fontId="0" fillId="0" borderId="10" xfId="42" applyFont="1" applyBorder="1" applyAlignment="1">
      <alignment horizontal="center"/>
    </xf>
    <xf numFmtId="164" fontId="0" fillId="0" borderId="12" xfId="42" applyFont="1" applyBorder="1" applyAlignment="1">
      <alignment horizontal="center"/>
    </xf>
    <xf numFmtId="164" fontId="0" fillId="0" borderId="41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10" xfId="42" applyFont="1" applyFill="1" applyBorder="1" applyAlignment="1">
      <alignment horizontal="center"/>
    </xf>
    <xf numFmtId="164" fontId="0" fillId="0" borderId="12" xfId="42" applyFont="1" applyFill="1" applyBorder="1" applyAlignment="1">
      <alignment horizontal="center"/>
    </xf>
    <xf numFmtId="164" fontId="0" fillId="0" borderId="41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 indent="4"/>
    </xf>
    <xf numFmtId="0" fontId="0" fillId="0" borderId="19" xfId="0" applyFill="1" applyBorder="1" applyAlignment="1">
      <alignment horizontal="left" vertical="center" wrapText="1" indent="4"/>
    </xf>
    <xf numFmtId="0" fontId="0" fillId="0" borderId="26" xfId="0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164" fontId="46" fillId="0" borderId="0" xfId="0" applyNumberFormat="1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164" fontId="46" fillId="0" borderId="0" xfId="0" applyNumberFormat="1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0" fontId="0" fillId="0" borderId="43" xfId="0" applyFill="1" applyBorder="1" applyAlignment="1">
      <alignment horizontal="center" vertical="center"/>
    </xf>
    <xf numFmtId="164" fontId="41" fillId="0" borderId="0" xfId="42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56</xdr:row>
      <xdr:rowOff>133350</xdr:rowOff>
    </xdr:from>
    <xdr:to>
      <xdr:col>9</xdr:col>
      <xdr:colOff>904875</xdr:colOff>
      <xdr:row>60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10725150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75" t="s">
        <v>2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39</v>
      </c>
      <c r="B5" s="175"/>
      <c r="C5" s="175"/>
      <c r="D5" s="175"/>
      <c r="E5" s="175"/>
      <c r="F5" s="175"/>
      <c r="G5" s="175"/>
      <c r="H5" s="175"/>
      <c r="I5" s="175"/>
    </row>
    <row r="6" spans="1:9" ht="15">
      <c r="A6" s="175" t="s">
        <v>3</v>
      </c>
      <c r="B6" s="175"/>
      <c r="C6" s="175"/>
      <c r="D6" s="175"/>
      <c r="E6" s="175"/>
      <c r="F6" s="175"/>
      <c r="G6" s="175"/>
      <c r="H6" s="175"/>
      <c r="I6" s="175"/>
    </row>
    <row r="8" ht="9" customHeight="1" thickBot="1"/>
    <row r="9" spans="1:9" ht="21" customHeight="1">
      <c r="A9" s="176" t="s">
        <v>4</v>
      </c>
      <c r="B9" s="179" t="s">
        <v>5</v>
      </c>
      <c r="C9" s="180"/>
      <c r="D9" s="176" t="s">
        <v>6</v>
      </c>
      <c r="E9" s="176" t="s">
        <v>11</v>
      </c>
      <c r="F9" s="176" t="s">
        <v>40</v>
      </c>
      <c r="G9" s="181" t="s">
        <v>12</v>
      </c>
      <c r="H9" s="184" t="s">
        <v>7</v>
      </c>
      <c r="I9" s="1" t="s">
        <v>8</v>
      </c>
    </row>
    <row r="10" spans="1:9" ht="31.5" customHeight="1">
      <c r="A10" s="177"/>
      <c r="B10" s="51" t="s">
        <v>9</v>
      </c>
      <c r="C10" s="53" t="s">
        <v>10</v>
      </c>
      <c r="D10" s="177"/>
      <c r="E10" s="177"/>
      <c r="F10" s="177"/>
      <c r="G10" s="182"/>
      <c r="H10" s="185"/>
      <c r="I10" s="2"/>
    </row>
    <row r="11" spans="1:11" ht="20.25" customHeight="1" thickBot="1">
      <c r="A11" s="178"/>
      <c r="B11" s="52">
        <v>0.3</v>
      </c>
      <c r="C11" s="54">
        <v>0.7</v>
      </c>
      <c r="D11" s="178"/>
      <c r="E11" s="178"/>
      <c r="F11" s="178"/>
      <c r="G11" s="18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>SUM(B14:F14)</f>
        <v>49705954.53</v>
      </c>
      <c r="H14" s="9"/>
      <c r="I14" s="5"/>
      <c r="K14" s="188"/>
      <c r="L14" s="19">
        <f>+K13*0.3</f>
        <v>39603054.3</v>
      </c>
    </row>
    <row r="15" spans="1:11" ht="15">
      <c r="A15" s="34" t="s">
        <v>17</v>
      </c>
      <c r="B15" s="189">
        <f>220000000+22552281</f>
        <v>242552281</v>
      </c>
      <c r="C15" s="189"/>
      <c r="D15" s="10"/>
      <c r="E15" s="11"/>
      <c r="F15" s="11"/>
      <c r="G15" s="192">
        <f>SUM(B15:F15)</f>
        <v>242552281</v>
      </c>
      <c r="H15" s="9"/>
      <c r="I15" s="5"/>
      <c r="K15" s="188"/>
    </row>
    <row r="16" spans="1:11" ht="15">
      <c r="A16" s="34" t="s">
        <v>18</v>
      </c>
      <c r="B16" s="190"/>
      <c r="C16" s="190"/>
      <c r="D16" s="11"/>
      <c r="E16" s="11"/>
      <c r="F16" s="11"/>
      <c r="G16" s="193">
        <f>SUM(B16:F16)</f>
        <v>0</v>
      </c>
      <c r="H16" s="9"/>
      <c r="I16" s="5"/>
      <c r="K16" s="188"/>
    </row>
    <row r="17" spans="1:11" ht="15">
      <c r="A17" s="34" t="s">
        <v>19</v>
      </c>
      <c r="B17" s="190"/>
      <c r="C17" s="190"/>
      <c r="D17" s="11"/>
      <c r="E17" s="11"/>
      <c r="F17" s="11"/>
      <c r="G17" s="193">
        <f>SUM(B17:F17)</f>
        <v>0</v>
      </c>
      <c r="H17" s="9"/>
      <c r="I17" s="5"/>
      <c r="K17" s="45"/>
    </row>
    <row r="18" spans="1:11" ht="15">
      <c r="A18" s="35" t="s">
        <v>20</v>
      </c>
      <c r="B18" s="191"/>
      <c r="C18" s="191"/>
      <c r="D18" s="13"/>
      <c r="E18" s="13"/>
      <c r="F18" s="13"/>
      <c r="G18" s="194">
        <f>SUM(B18:F18)</f>
        <v>0</v>
      </c>
      <c r="H18" s="9"/>
      <c r="I18" s="5"/>
      <c r="K18" s="4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95" t="s">
        <v>41</v>
      </c>
      <c r="G44" s="195"/>
      <c r="H44" s="26"/>
      <c r="I44" s="26"/>
      <c r="J44" s="26"/>
      <c r="K44" s="4"/>
    </row>
    <row r="45" spans="2:11" ht="15" customHeight="1">
      <c r="B45" s="186"/>
      <c r="C45" s="186"/>
      <c r="F45" s="187" t="s">
        <v>42</v>
      </c>
      <c r="G45" s="187"/>
      <c r="H45" s="27"/>
      <c r="I45" s="27"/>
      <c r="J45" s="27"/>
      <c r="K45" s="19"/>
    </row>
    <row r="46" spans="2:11" ht="15" customHeight="1">
      <c r="B46" s="186"/>
      <c r="C46" s="186"/>
      <c r="F46" s="187" t="s">
        <v>43</v>
      </c>
      <c r="G46" s="187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85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176" t="s">
        <v>4</v>
      </c>
      <c r="B8" s="179" t="s">
        <v>5</v>
      </c>
      <c r="C8" s="180"/>
      <c r="D8" s="176" t="s">
        <v>6</v>
      </c>
      <c r="E8" s="176" t="s">
        <v>11</v>
      </c>
      <c r="F8" s="176" t="s">
        <v>40</v>
      </c>
      <c r="G8" s="181" t="s">
        <v>12</v>
      </c>
      <c r="H8" s="184" t="s">
        <v>7</v>
      </c>
      <c r="I8" s="1" t="s">
        <v>8</v>
      </c>
    </row>
    <row r="9" spans="1:9" ht="31.5" customHeight="1">
      <c r="A9" s="177"/>
      <c r="B9" s="51" t="s">
        <v>9</v>
      </c>
      <c r="C9" s="53" t="s">
        <v>10</v>
      </c>
      <c r="D9" s="177"/>
      <c r="E9" s="177"/>
      <c r="F9" s="177"/>
      <c r="G9" s="182"/>
      <c r="H9" s="185"/>
      <c r="I9" s="2"/>
    </row>
    <row r="10" spans="1:11" ht="20.25" customHeight="1" thickBot="1">
      <c r="A10" s="178"/>
      <c r="B10" s="52">
        <v>0.3</v>
      </c>
      <c r="C10" s="54">
        <v>0.7</v>
      </c>
      <c r="D10" s="178"/>
      <c r="E10" s="178"/>
      <c r="F10" s="178"/>
      <c r="G10" s="183"/>
      <c r="H10" s="28" t="s">
        <v>13</v>
      </c>
      <c r="I10" s="3"/>
      <c r="K10" s="4"/>
    </row>
    <row r="11" spans="1:11" ht="15">
      <c r="A11" s="49" t="s">
        <v>14</v>
      </c>
      <c r="B11" s="3"/>
      <c r="C11" s="3"/>
      <c r="D11" s="3"/>
      <c r="E11" s="3"/>
      <c r="F11" s="3"/>
      <c r="G11" s="50"/>
      <c r="H11" s="29"/>
      <c r="I11" s="5"/>
      <c r="K11" s="4"/>
    </row>
    <row r="12" spans="1:13" ht="15">
      <c r="A12" s="32" t="s">
        <v>68</v>
      </c>
      <c r="B12" s="6">
        <v>39198054.3</v>
      </c>
      <c r="C12" s="6">
        <v>91462126.7</v>
      </c>
      <c r="D12" s="6"/>
      <c r="E12" s="6"/>
      <c r="F12" s="6"/>
      <c r="G12" s="33">
        <f>SUM(B12:F12)</f>
        <v>130660181</v>
      </c>
      <c r="H12" s="9"/>
      <c r="I12" s="5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32" t="s">
        <v>16</v>
      </c>
      <c r="B13" s="8"/>
      <c r="C13" s="8">
        <f>11892664+37813290.53</f>
        <v>49705954.53</v>
      </c>
      <c r="D13" s="6"/>
      <c r="E13" s="6"/>
      <c r="F13" s="6"/>
      <c r="G13" s="33">
        <f>SUM(B13:F13)</f>
        <v>49705954.53</v>
      </c>
      <c r="H13" s="9"/>
      <c r="I13" s="5"/>
      <c r="K13" s="188"/>
      <c r="M13" s="19">
        <f>+K12*0.3</f>
        <v>39603054.3</v>
      </c>
    </row>
    <row r="14" spans="1:11" ht="15">
      <c r="A14" s="34" t="s">
        <v>17</v>
      </c>
      <c r="B14" s="189">
        <f>220000000+22552281</f>
        <v>242552281</v>
      </c>
      <c r="C14" s="189"/>
      <c r="D14" s="10"/>
      <c r="E14" s="11"/>
      <c r="F14" s="11"/>
      <c r="G14" s="192">
        <f>SUM(B14:F14)</f>
        <v>242552281</v>
      </c>
      <c r="H14" s="9"/>
      <c r="I14" s="5"/>
      <c r="K14" s="188"/>
    </row>
    <row r="15" spans="1:11" ht="15">
      <c r="A15" s="34" t="s">
        <v>18</v>
      </c>
      <c r="B15" s="190"/>
      <c r="C15" s="190"/>
      <c r="D15" s="11"/>
      <c r="E15" s="11"/>
      <c r="F15" s="11"/>
      <c r="G15" s="193">
        <f>SUM(B15:F15)</f>
        <v>0</v>
      </c>
      <c r="H15" s="9"/>
      <c r="I15" s="5"/>
      <c r="K15" s="188"/>
    </row>
    <row r="16" spans="1:11" ht="15">
      <c r="A16" s="34" t="s">
        <v>19</v>
      </c>
      <c r="B16" s="190"/>
      <c r="C16" s="190"/>
      <c r="D16" s="11"/>
      <c r="E16" s="11"/>
      <c r="F16" s="11"/>
      <c r="G16" s="193">
        <f>SUM(B16:F16)</f>
        <v>0</v>
      </c>
      <c r="H16" s="9"/>
      <c r="I16" s="5"/>
      <c r="K16" s="67"/>
    </row>
    <row r="17" spans="1:14" ht="15">
      <c r="A17" s="35" t="s">
        <v>20</v>
      </c>
      <c r="B17" s="191"/>
      <c r="C17" s="191"/>
      <c r="D17" s="13"/>
      <c r="E17" s="13"/>
      <c r="F17" s="13"/>
      <c r="G17" s="194">
        <f>SUM(B17:F17)</f>
        <v>0</v>
      </c>
      <c r="H17" s="9"/>
      <c r="I17" s="5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35" t="s">
        <v>21</v>
      </c>
      <c r="B18" s="13"/>
      <c r="C18" s="13"/>
      <c r="D18" s="13"/>
      <c r="E18" s="13"/>
      <c r="F18" s="13"/>
      <c r="G18" s="36"/>
      <c r="H18" s="9"/>
      <c r="I18" s="5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37" t="s">
        <v>22</v>
      </c>
      <c r="B19" s="15"/>
      <c r="C19" s="15"/>
      <c r="D19" s="15"/>
      <c r="E19" s="15"/>
      <c r="F19" s="15"/>
      <c r="G19" s="38"/>
      <c r="H19" s="30"/>
      <c r="I19" s="14"/>
      <c r="K19" s="17"/>
      <c r="L19" s="17"/>
    </row>
    <row r="20" spans="1:12" ht="15">
      <c r="A20" s="39" t="s">
        <v>23</v>
      </c>
      <c r="B20" s="18">
        <f>+SUM(B12:B18)</f>
        <v>281750335.3</v>
      </c>
      <c r="C20" s="18">
        <f>+SUM(C12:C18)</f>
        <v>141168081.23000002</v>
      </c>
      <c r="D20" s="6"/>
      <c r="E20" s="6"/>
      <c r="F20" s="6"/>
      <c r="G20" s="33">
        <f>SUM(B20:F20)</f>
        <v>422918416.53000003</v>
      </c>
      <c r="H20" s="9"/>
      <c r="I20" s="5"/>
      <c r="K20" s="19"/>
      <c r="L20" t="s">
        <v>49</v>
      </c>
    </row>
    <row r="21" spans="1:9" ht="15">
      <c r="A21" s="31" t="s">
        <v>24</v>
      </c>
      <c r="B21" s="6"/>
      <c r="C21" s="6"/>
      <c r="D21" s="6"/>
      <c r="E21" s="6"/>
      <c r="F21" s="6"/>
      <c r="G21" s="33"/>
      <c r="H21" s="9"/>
      <c r="I21" s="5"/>
    </row>
    <row r="22" spans="1:11" ht="15">
      <c r="A22" s="40" t="s">
        <v>25</v>
      </c>
      <c r="B22" s="6"/>
      <c r="C22" s="6"/>
      <c r="D22" s="6"/>
      <c r="E22" s="6"/>
      <c r="F22" s="6"/>
      <c r="G22" s="33"/>
      <c r="H22" s="9"/>
      <c r="I22" s="5"/>
      <c r="K22" s="19"/>
    </row>
    <row r="23" spans="1:9" ht="15">
      <c r="A23" s="40" t="s">
        <v>26</v>
      </c>
      <c r="B23" s="6"/>
      <c r="C23" s="6"/>
      <c r="D23" s="6"/>
      <c r="E23" s="6"/>
      <c r="F23" s="6"/>
      <c r="G23" s="33"/>
      <c r="H23" s="9"/>
      <c r="I23" s="5"/>
    </row>
    <row r="24" spans="1:9" ht="15">
      <c r="A24" s="40" t="s">
        <v>27</v>
      </c>
      <c r="B24" s="6"/>
      <c r="C24" s="6"/>
      <c r="D24" s="6"/>
      <c r="E24" s="6"/>
      <c r="F24" s="6"/>
      <c r="G24" s="33"/>
      <c r="H24" s="9"/>
      <c r="I24" s="5"/>
    </row>
    <row r="25" spans="1:9" ht="15" hidden="1">
      <c r="A25" s="40" t="s">
        <v>28</v>
      </c>
      <c r="B25" s="6"/>
      <c r="C25" s="6"/>
      <c r="D25" s="6"/>
      <c r="E25" s="6"/>
      <c r="F25" s="6"/>
      <c r="G25" s="33"/>
      <c r="H25" s="9"/>
      <c r="I25" s="5"/>
    </row>
    <row r="26" spans="1:9" ht="15">
      <c r="A26" s="40" t="s">
        <v>45</v>
      </c>
      <c r="B26" s="6"/>
      <c r="C26" s="6">
        <v>14360</v>
      </c>
      <c r="D26" s="6"/>
      <c r="E26" s="6"/>
      <c r="F26" s="6"/>
      <c r="G26" s="33"/>
      <c r="H26" s="9"/>
      <c r="I26" s="5"/>
    </row>
    <row r="27" spans="1:9" ht="15">
      <c r="A27" s="40" t="s">
        <v>46</v>
      </c>
      <c r="B27" s="6"/>
      <c r="C27" s="6">
        <f>20337.92+6786.39</f>
        <v>27124.309999999998</v>
      </c>
      <c r="D27" s="6"/>
      <c r="E27" s="6"/>
      <c r="F27" s="6"/>
      <c r="G27" s="33"/>
      <c r="H27" s="9"/>
      <c r="I27" s="5"/>
    </row>
    <row r="28" spans="1:9" ht="15">
      <c r="A28" s="40" t="s">
        <v>78</v>
      </c>
      <c r="B28" s="6"/>
      <c r="C28" s="6">
        <v>102000</v>
      </c>
      <c r="D28" s="6"/>
      <c r="E28" s="6"/>
      <c r="F28" s="6"/>
      <c r="G28" s="33"/>
      <c r="H28" s="9"/>
      <c r="I28" s="5"/>
    </row>
    <row r="29" spans="1:9" ht="15">
      <c r="A29" s="40" t="s">
        <v>79</v>
      </c>
      <c r="B29" s="6"/>
      <c r="C29" s="6">
        <v>485000</v>
      </c>
      <c r="D29" s="6"/>
      <c r="E29" s="6"/>
      <c r="F29" s="6"/>
      <c r="G29" s="33"/>
      <c r="H29" s="9"/>
      <c r="I29" s="5"/>
    </row>
    <row r="30" spans="1:9" ht="15">
      <c r="A30" s="40" t="s">
        <v>80</v>
      </c>
      <c r="B30" s="6"/>
      <c r="C30" s="8">
        <f>21952+9900+8997+236800</f>
        <v>277649</v>
      </c>
      <c r="D30" s="6"/>
      <c r="E30" s="6"/>
      <c r="F30" s="6"/>
      <c r="G30" s="33"/>
      <c r="H30" s="9"/>
      <c r="I30" s="5"/>
    </row>
    <row r="31" spans="1:9" ht="15">
      <c r="A31" s="40" t="s">
        <v>81</v>
      </c>
      <c r="B31" s="6"/>
      <c r="C31" s="8">
        <f>8097.56+4059.98+4065.58+4048.78+4048.78+4066.12+24000+4183.18+4188.78</f>
        <v>60758.76</v>
      </c>
      <c r="D31" s="6"/>
      <c r="E31" s="6"/>
      <c r="F31" s="6"/>
      <c r="G31" s="33"/>
      <c r="H31" s="9"/>
      <c r="I31" s="5"/>
    </row>
    <row r="32" spans="1:9" ht="15" customHeight="1" hidden="1">
      <c r="A32" s="41" t="s">
        <v>30</v>
      </c>
      <c r="B32" s="6"/>
      <c r="C32" s="8"/>
      <c r="D32" s="6"/>
      <c r="E32" s="6"/>
      <c r="F32" s="6"/>
      <c r="G32" s="33"/>
      <c r="H32" s="9"/>
      <c r="I32" s="5"/>
    </row>
    <row r="33" spans="1:9" ht="15" customHeight="1">
      <c r="A33" s="40" t="s">
        <v>63</v>
      </c>
      <c r="B33" s="6"/>
      <c r="C33" s="8">
        <f>4370.3+41163.44+161142</f>
        <v>206675.74</v>
      </c>
      <c r="D33" s="6"/>
      <c r="E33" s="6"/>
      <c r="F33" s="6"/>
      <c r="G33" s="33"/>
      <c r="H33" s="9"/>
      <c r="I33" s="5"/>
    </row>
    <row r="34" spans="1:9" ht="15">
      <c r="A34" s="42" t="s">
        <v>31</v>
      </c>
      <c r="B34" s="6"/>
      <c r="C34" s="8"/>
      <c r="D34" s="6"/>
      <c r="E34" s="6"/>
      <c r="F34" s="6"/>
      <c r="G34" s="33"/>
      <c r="H34" s="9"/>
      <c r="I34" s="5"/>
    </row>
    <row r="35" spans="1:9" ht="15">
      <c r="A35" s="40" t="s">
        <v>76</v>
      </c>
      <c r="B35" s="6"/>
      <c r="C35" s="8">
        <v>103836.68</v>
      </c>
      <c r="D35" s="6"/>
      <c r="E35" s="6"/>
      <c r="F35" s="6"/>
      <c r="G35" s="33"/>
      <c r="H35" s="9"/>
      <c r="I35" s="5"/>
    </row>
    <row r="36" spans="1:9" ht="15">
      <c r="A36" s="40" t="s">
        <v>32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40" t="s">
        <v>64</v>
      </c>
      <c r="B37" s="6"/>
      <c r="C37" s="6">
        <v>2636849</v>
      </c>
      <c r="D37" s="6"/>
      <c r="E37" s="6"/>
      <c r="F37" s="6"/>
      <c r="G37" s="33"/>
      <c r="H37" s="9"/>
      <c r="I37" s="5"/>
    </row>
    <row r="38" spans="1:9" ht="15">
      <c r="A38" s="198" t="s">
        <v>82</v>
      </c>
      <c r="B38" s="200"/>
      <c r="C38" s="200">
        <v>5870000</v>
      </c>
      <c r="D38" s="200"/>
      <c r="E38" s="200"/>
      <c r="F38" s="200"/>
      <c r="G38" s="202"/>
      <c r="H38" s="9"/>
      <c r="I38" s="5"/>
    </row>
    <row r="39" spans="1:9" ht="15">
      <c r="A39" s="199"/>
      <c r="B39" s="201"/>
      <c r="C39" s="201"/>
      <c r="D39" s="201"/>
      <c r="E39" s="201"/>
      <c r="F39" s="201"/>
      <c r="G39" s="203"/>
      <c r="H39" s="9"/>
      <c r="I39" s="5"/>
    </row>
    <row r="40" spans="1:9" ht="15">
      <c r="A40" s="40" t="s">
        <v>83</v>
      </c>
      <c r="B40" s="68"/>
      <c r="C40" s="68">
        <v>4780000</v>
      </c>
      <c r="D40" s="68"/>
      <c r="E40" s="68"/>
      <c r="F40" s="68"/>
      <c r="G40" s="69"/>
      <c r="H40" s="9"/>
      <c r="I40" s="5"/>
    </row>
    <row r="41" spans="1:9" ht="15">
      <c r="A41" s="40" t="s">
        <v>84</v>
      </c>
      <c r="B41" s="68"/>
      <c r="C41" s="68">
        <v>888000</v>
      </c>
      <c r="D41" s="68"/>
      <c r="E41" s="68"/>
      <c r="F41" s="68"/>
      <c r="G41" s="69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+SUM(B22:B43)</f>
        <v>0</v>
      </c>
      <c r="C44" s="18">
        <f>+SUM(C22:C43)</f>
        <v>15452253.49</v>
      </c>
      <c r="D44" s="6"/>
      <c r="E44" s="6"/>
      <c r="F44" s="6"/>
      <c r="G44" s="43">
        <f>SUM(B44:F44)</f>
        <v>15452253.49</v>
      </c>
      <c r="H44" s="9"/>
      <c r="I44" s="5"/>
    </row>
    <row r="45" spans="1:9" ht="15.75" thickBot="1">
      <c r="A45" s="44" t="s">
        <v>36</v>
      </c>
      <c r="B45" s="46">
        <f>B20-B44</f>
        <v>281750335.3</v>
      </c>
      <c r="C45" s="46">
        <f>+C20-C44</f>
        <v>125715827.74000002</v>
      </c>
      <c r="D45" s="47"/>
      <c r="E45" s="47"/>
      <c r="F45" s="47"/>
      <c r="G45" s="48">
        <f>G20-G44</f>
        <v>407466163.04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96" t="str">
        <f>+K53</f>
        <v>CHARLITO B. PADUL</v>
      </c>
      <c r="G53" s="195"/>
      <c r="H53" s="26"/>
      <c r="I53" s="26"/>
      <c r="J53" s="26"/>
      <c r="K53" s="4" t="s">
        <v>70</v>
      </c>
    </row>
    <row r="54" spans="2:11" ht="15" customHeight="1">
      <c r="B54" s="186"/>
      <c r="C54" s="186"/>
      <c r="F54" s="197" t="str">
        <f>+K54</f>
        <v>Asisstant City Budget Officer</v>
      </c>
      <c r="G54" s="187"/>
      <c r="H54" s="27"/>
      <c r="I54" s="27"/>
      <c r="J54" s="27"/>
      <c r="K54" s="19" t="s">
        <v>71</v>
      </c>
    </row>
    <row r="55" spans="2:11" ht="15" customHeight="1">
      <c r="B55" s="186"/>
      <c r="C55" s="186"/>
      <c r="F55" s="187" t="s">
        <v>43</v>
      </c>
      <c r="G55" s="187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C58" s="19">
        <v>14148942.530000001</v>
      </c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>
        <f>+C44-C58</f>
        <v>1303310.959999999</v>
      </c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K13:K15"/>
    <mergeCell ref="B14:B17"/>
    <mergeCell ref="C14:C17"/>
    <mergeCell ref="G14:G17"/>
    <mergeCell ref="A38:A39"/>
    <mergeCell ref="B38:B39"/>
    <mergeCell ref="C38:C39"/>
    <mergeCell ref="D38:D39"/>
    <mergeCell ref="E38:E39"/>
    <mergeCell ref="F38:F39"/>
    <mergeCell ref="G38:G39"/>
    <mergeCell ref="F53:G53"/>
    <mergeCell ref="B54:C54"/>
    <mergeCell ref="F54:G54"/>
    <mergeCell ref="B55:C55"/>
    <mergeCell ref="F55:G55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86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11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  <c r="K10" s="4"/>
    </row>
    <row r="11" spans="1:11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4"/>
    </row>
    <row r="12" spans="1:13" ht="15">
      <c r="A12" s="40" t="s">
        <v>68</v>
      </c>
      <c r="B12" s="8">
        <v>39198054.3</v>
      </c>
      <c r="C12" s="8">
        <v>91462126.7</v>
      </c>
      <c r="D12" s="8"/>
      <c r="E12" s="8"/>
      <c r="F12" s="8"/>
      <c r="G12" s="81">
        <f>SUM(B12:F12)</f>
        <v>130660181</v>
      </c>
      <c r="H12" s="82"/>
      <c r="I12" s="80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40" t="s">
        <v>16</v>
      </c>
      <c r="B13" s="8"/>
      <c r="C13" s="8">
        <f>11892664+37813290.53</f>
        <v>49705954.53</v>
      </c>
      <c r="D13" s="8"/>
      <c r="E13" s="8"/>
      <c r="F13" s="8"/>
      <c r="G13" s="81">
        <f>SUM(B13:F13)</f>
        <v>49705954.53</v>
      </c>
      <c r="H13" s="82"/>
      <c r="I13" s="80"/>
      <c r="K13" s="188"/>
      <c r="M13" s="19">
        <f>+K12*0.3</f>
        <v>39603054.3</v>
      </c>
    </row>
    <row r="14" spans="1:11" ht="15">
      <c r="A14" s="41" t="s">
        <v>17</v>
      </c>
      <c r="B14" s="189">
        <f>220000000+22552281</f>
        <v>242552281</v>
      </c>
      <c r="C14" s="189"/>
      <c r="D14" s="10"/>
      <c r="E14" s="83"/>
      <c r="F14" s="83"/>
      <c r="G14" s="192">
        <f>SUM(B14:F14)</f>
        <v>242552281</v>
      </c>
      <c r="H14" s="82"/>
      <c r="I14" s="80"/>
      <c r="K14" s="188"/>
    </row>
    <row r="15" spans="1:11" ht="15">
      <c r="A15" s="41" t="s">
        <v>18</v>
      </c>
      <c r="B15" s="190"/>
      <c r="C15" s="190"/>
      <c r="D15" s="83"/>
      <c r="E15" s="83"/>
      <c r="F15" s="83"/>
      <c r="G15" s="193">
        <f>SUM(B15:F15)</f>
        <v>0</v>
      </c>
      <c r="H15" s="82"/>
      <c r="I15" s="80"/>
      <c r="K15" s="188"/>
    </row>
    <row r="16" spans="1:11" ht="15">
      <c r="A16" s="41" t="s">
        <v>19</v>
      </c>
      <c r="B16" s="190"/>
      <c r="C16" s="190"/>
      <c r="D16" s="83"/>
      <c r="E16" s="83"/>
      <c r="F16" s="83"/>
      <c r="G16" s="193">
        <f>SUM(B16:F16)</f>
        <v>0</v>
      </c>
      <c r="H16" s="82"/>
      <c r="I16" s="80"/>
      <c r="K16" s="67"/>
    </row>
    <row r="17" spans="1:14" ht="15">
      <c r="A17" s="42" t="s">
        <v>20</v>
      </c>
      <c r="B17" s="191"/>
      <c r="C17" s="191"/>
      <c r="D17" s="84"/>
      <c r="E17" s="84"/>
      <c r="F17" s="84"/>
      <c r="G17" s="194">
        <f>SUM(B17:F17)</f>
        <v>0</v>
      </c>
      <c r="H17" s="82"/>
      <c r="I17" s="80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</row>
    <row r="20" spans="1:12" ht="15">
      <c r="A20" s="39" t="s">
        <v>23</v>
      </c>
      <c r="B20" s="86">
        <f>+SUM(B12:B18)</f>
        <v>281750335.3</v>
      </c>
      <c r="C20" s="86">
        <f>+SUM(C12:C18)</f>
        <v>141168081.23000002</v>
      </c>
      <c r="D20" s="8"/>
      <c r="E20" s="8"/>
      <c r="F20" s="8"/>
      <c r="G20" s="81">
        <f>SUM(B20:F20)</f>
        <v>422918416.53000003</v>
      </c>
      <c r="H20" s="82"/>
      <c r="I20" s="80"/>
      <c r="K20" s="19"/>
      <c r="L20" t="s">
        <v>49</v>
      </c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11" ht="15">
      <c r="A22" s="40" t="s">
        <v>25</v>
      </c>
      <c r="B22" s="8"/>
      <c r="C22" s="8"/>
      <c r="D22" s="8"/>
      <c r="E22" s="8"/>
      <c r="F22" s="8"/>
      <c r="G22" s="81"/>
      <c r="H22" s="82"/>
      <c r="I22" s="80"/>
      <c r="K22" s="19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f>20337.92+6786.39</f>
        <v>27124.309999999998</v>
      </c>
      <c r="D27" s="8"/>
      <c r="E27" s="8"/>
      <c r="F27" s="8"/>
      <c r="G27" s="81"/>
      <c r="H27" s="82"/>
      <c r="I27" s="80"/>
    </row>
    <row r="28" spans="1:9" ht="15">
      <c r="A28" s="40" t="s">
        <v>78</v>
      </c>
      <c r="B28" s="8"/>
      <c r="C28" s="8">
        <v>102000</v>
      </c>
      <c r="D28" s="8"/>
      <c r="E28" s="8"/>
      <c r="F28" s="8"/>
      <c r="G28" s="81"/>
      <c r="H28" s="82"/>
      <c r="I28" s="80"/>
    </row>
    <row r="29" spans="1:9" ht="15">
      <c r="A29" s="40" t="s">
        <v>79</v>
      </c>
      <c r="B29" s="8"/>
      <c r="C29" s="8">
        <f>485000+81600</f>
        <v>566600</v>
      </c>
      <c r="D29" s="8"/>
      <c r="E29" s="8"/>
      <c r="F29" s="8"/>
      <c r="G29" s="81"/>
      <c r="H29" s="82"/>
      <c r="I29" s="80"/>
    </row>
    <row r="30" spans="1:9" ht="15">
      <c r="A30" s="40" t="s">
        <v>80</v>
      </c>
      <c r="B30" s="8"/>
      <c r="C30" s="8">
        <f>21952+9900+8997+236800</f>
        <v>277649</v>
      </c>
      <c r="D30" s="8"/>
      <c r="E30" s="8"/>
      <c r="F30" s="8"/>
      <c r="G30" s="81"/>
      <c r="H30" s="82"/>
      <c r="I30" s="80"/>
    </row>
    <row r="31" spans="1:9" ht="15">
      <c r="A31" s="40" t="s">
        <v>81</v>
      </c>
      <c r="B31" s="8"/>
      <c r="C31" s="8">
        <f>8097.56+4059.98+4065.58+4048.78+4048.78+4066.12+24000+4183.18+4188.78</f>
        <v>60758.76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63</v>
      </c>
      <c r="B33" s="8"/>
      <c r="C33" s="8">
        <f>4370.3+41163.44+161142</f>
        <v>206675.74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2636849</v>
      </c>
      <c r="D37" s="8"/>
      <c r="E37" s="8"/>
      <c r="F37" s="8"/>
      <c r="G37" s="81"/>
      <c r="H37" s="82"/>
      <c r="I37" s="80"/>
    </row>
    <row r="38" spans="1:9" ht="15">
      <c r="A38" s="198" t="s">
        <v>82</v>
      </c>
      <c r="B38" s="204"/>
      <c r="C38" s="204">
        <v>5870000</v>
      </c>
      <c r="D38" s="204"/>
      <c r="E38" s="204"/>
      <c r="F38" s="204"/>
      <c r="G38" s="206"/>
      <c r="H38" s="82"/>
      <c r="I38" s="80"/>
    </row>
    <row r="39" spans="1:9" ht="15">
      <c r="A39" s="199"/>
      <c r="B39" s="205"/>
      <c r="C39" s="205"/>
      <c r="D39" s="205"/>
      <c r="E39" s="205"/>
      <c r="F39" s="205"/>
      <c r="G39" s="207"/>
      <c r="H39" s="82"/>
      <c r="I39" s="80"/>
    </row>
    <row r="40" spans="1:9" ht="15">
      <c r="A40" s="40" t="s">
        <v>83</v>
      </c>
      <c r="B40" s="87"/>
      <c r="C40" s="87">
        <v>4780000</v>
      </c>
      <c r="D40" s="87"/>
      <c r="E40" s="87"/>
      <c r="F40" s="87"/>
      <c r="G40" s="88"/>
      <c r="H40" s="82"/>
      <c r="I40" s="80"/>
    </row>
    <row r="41" spans="1:9" ht="15">
      <c r="A41" s="40" t="s">
        <v>84</v>
      </c>
      <c r="B41" s="87"/>
      <c r="C41" s="87">
        <v>888000</v>
      </c>
      <c r="D41" s="87"/>
      <c r="E41" s="87"/>
      <c r="F41" s="87"/>
      <c r="G41" s="88"/>
      <c r="H41" s="82"/>
      <c r="I41" s="80"/>
    </row>
    <row r="42" spans="1:9" ht="15">
      <c r="A42" s="40" t="s">
        <v>87</v>
      </c>
      <c r="B42" s="87"/>
      <c r="C42" s="87">
        <v>5000000</v>
      </c>
      <c r="D42" s="87"/>
      <c r="E42" s="87"/>
      <c r="F42" s="87"/>
      <c r="G42" s="88"/>
      <c r="H42" s="82"/>
      <c r="I42" s="80"/>
    </row>
    <row r="43" spans="1:9" ht="15">
      <c r="A43" s="40" t="s">
        <v>33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40" t="s">
        <v>34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39" t="s">
        <v>35</v>
      </c>
      <c r="B45" s="86">
        <f>+SUM(B22:B44)</f>
        <v>0</v>
      </c>
      <c r="C45" s="86">
        <f>+SUM(C22:C44)</f>
        <v>23529677.49</v>
      </c>
      <c r="D45" s="8"/>
      <c r="E45" s="8"/>
      <c r="F45" s="8"/>
      <c r="G45" s="89">
        <f>SUM(B45:F45)</f>
        <v>23529677.49</v>
      </c>
      <c r="H45" s="82"/>
      <c r="I45" s="80"/>
    </row>
    <row r="46" spans="1:9" ht="15.75" thickBot="1">
      <c r="A46" s="44" t="s">
        <v>36</v>
      </c>
      <c r="B46" s="90">
        <f>B20-B45</f>
        <v>281750335.3</v>
      </c>
      <c r="C46" s="90">
        <f>+C20-C45</f>
        <v>117638403.74000002</v>
      </c>
      <c r="D46" s="91"/>
      <c r="E46" s="91"/>
      <c r="F46" s="91"/>
      <c r="G46" s="92">
        <f>G20-G45</f>
        <v>399388739.04</v>
      </c>
      <c r="H46" s="82"/>
      <c r="I46" s="80"/>
    </row>
    <row r="47" spans="1:9" ht="15">
      <c r="A47" s="20"/>
      <c r="B47" s="21"/>
      <c r="C47" s="21"/>
      <c r="D47" s="7"/>
      <c r="E47" s="7"/>
      <c r="F47" s="7"/>
      <c r="G47" s="21"/>
      <c r="H47" s="7"/>
      <c r="I47" s="22"/>
    </row>
    <row r="48" spans="1:9" ht="15">
      <c r="A48" s="23" t="s">
        <v>69</v>
      </c>
      <c r="B48" s="21"/>
      <c r="C48" s="21"/>
      <c r="D48" s="7"/>
      <c r="E48" s="7"/>
      <c r="F48" s="7"/>
      <c r="G48" s="21"/>
      <c r="H48" s="7"/>
      <c r="I48" s="22"/>
    </row>
    <row r="49" spans="3:7" ht="15">
      <c r="C49" s="24" t="s">
        <v>37</v>
      </c>
      <c r="D49" s="24"/>
      <c r="E49" s="24"/>
      <c r="F49" s="24"/>
      <c r="G49" s="24"/>
    </row>
    <row r="50" spans="3:11" ht="15">
      <c r="C50" s="24" t="s">
        <v>38</v>
      </c>
      <c r="D50" s="24"/>
      <c r="E50" s="24"/>
      <c r="F50" s="24"/>
      <c r="G50" s="24"/>
      <c r="K50" s="4"/>
    </row>
    <row r="51" spans="11:12" ht="14.25" customHeight="1">
      <c r="K51" s="19"/>
      <c r="L51" s="56"/>
    </row>
    <row r="52" spans="11:12" ht="14.25" customHeight="1">
      <c r="K52" s="19"/>
      <c r="L52" s="56"/>
    </row>
    <row r="53" ht="14.25" customHeight="1"/>
    <row r="54" spans="2:11" ht="15" customHeight="1">
      <c r="B54" s="22"/>
      <c r="C54" s="22"/>
      <c r="F54" s="196" t="s">
        <v>70</v>
      </c>
      <c r="G54" s="195"/>
      <c r="H54" s="26"/>
      <c r="I54" s="26"/>
      <c r="J54" s="26"/>
      <c r="K54" s="4"/>
    </row>
    <row r="55" spans="2:11" ht="15" customHeight="1">
      <c r="B55" s="186"/>
      <c r="C55" s="186"/>
      <c r="F55" s="197" t="s">
        <v>71</v>
      </c>
      <c r="G55" s="187"/>
      <c r="H55" s="27"/>
      <c r="I55" s="27"/>
      <c r="J55" s="27"/>
      <c r="K55" s="19"/>
    </row>
    <row r="56" spans="2:11" ht="15" customHeight="1">
      <c r="B56" s="186"/>
      <c r="C56" s="186"/>
      <c r="F56" s="187" t="s">
        <v>43</v>
      </c>
      <c r="G56" s="187"/>
      <c r="H56" s="27"/>
      <c r="I56" s="27"/>
      <c r="J56" s="27"/>
      <c r="K56" s="4"/>
    </row>
    <row r="57" spans="1:14" s="19" customFormat="1" ht="15">
      <c r="A57"/>
      <c r="B57"/>
      <c r="C57"/>
      <c r="D57"/>
      <c r="E57"/>
      <c r="F57"/>
      <c r="G57"/>
      <c r="H57"/>
      <c r="I57"/>
      <c r="J57"/>
      <c r="M57"/>
      <c r="N57"/>
    </row>
    <row r="59" spans="1:14" s="19" customFormat="1" ht="15">
      <c r="A59"/>
      <c r="B59"/>
      <c r="D59"/>
      <c r="E59"/>
      <c r="F59"/>
      <c r="G59"/>
      <c r="H59"/>
      <c r="I59"/>
      <c r="J59"/>
      <c r="K59"/>
      <c r="M59"/>
      <c r="N59"/>
    </row>
    <row r="60" spans="1:14" s="19" customFormat="1" ht="15">
      <c r="A60"/>
      <c r="B60"/>
      <c r="C60" s="4"/>
      <c r="D60"/>
      <c r="E60"/>
      <c r="F60"/>
      <c r="G60"/>
      <c r="H60"/>
      <c r="I60"/>
      <c r="J60"/>
      <c r="K60"/>
      <c r="M60"/>
      <c r="N60"/>
    </row>
  </sheetData>
  <sheetProtection/>
  <mergeCells count="26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K13:K15"/>
    <mergeCell ref="B14:B17"/>
    <mergeCell ref="C14:C17"/>
    <mergeCell ref="G14:G17"/>
    <mergeCell ref="A38:A39"/>
    <mergeCell ref="B38:B39"/>
    <mergeCell ref="C38:C39"/>
    <mergeCell ref="D38:D39"/>
    <mergeCell ref="E38:E39"/>
    <mergeCell ref="F38:F39"/>
    <mergeCell ref="G38:G39"/>
    <mergeCell ref="F54:G54"/>
    <mergeCell ref="B55:C55"/>
    <mergeCell ref="F55:G55"/>
    <mergeCell ref="B56:C56"/>
    <mergeCell ref="F56:G56"/>
  </mergeCells>
  <printOptions horizontalCentered="1"/>
  <pageMargins left="0.2" right="0" top="0.4" bottom="0.31" header="0.15" footer="0.37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90" zoomScaleNormal="90" zoomScalePageLayoutView="0" workbookViewId="0" topLeftCell="A1">
      <selection activeCell="B14" sqref="B14:B17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88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ht="15">
      <c r="A12" s="40" t="s">
        <v>68</v>
      </c>
      <c r="B12" s="8">
        <v>39198054</v>
      </c>
      <c r="C12" s="8">
        <v>112611022.03</v>
      </c>
      <c r="D12" s="8"/>
      <c r="E12" s="8"/>
      <c r="F12" s="8"/>
      <c r="G12" s="81">
        <v>151809076.03</v>
      </c>
      <c r="H12" s="82"/>
      <c r="I12" s="80"/>
    </row>
    <row r="13" spans="1:9" ht="15">
      <c r="A13" s="40" t="s">
        <v>16</v>
      </c>
      <c r="B13" s="8"/>
      <c r="C13" s="8">
        <v>59847712.49</v>
      </c>
      <c r="D13" s="8"/>
      <c r="E13" s="8"/>
      <c r="F13" s="8"/>
      <c r="G13" s="81">
        <v>59847712.49</v>
      </c>
      <c r="H13" s="82"/>
      <c r="I13" s="80"/>
    </row>
    <row r="14" spans="1:9" ht="15">
      <c r="A14" s="41" t="s">
        <v>17</v>
      </c>
      <c r="B14" s="189">
        <v>170784796.23</v>
      </c>
      <c r="C14" s="189"/>
      <c r="D14" s="10"/>
      <c r="E14" s="83"/>
      <c r="F14" s="83"/>
      <c r="G14" s="192">
        <v>170784796.23</v>
      </c>
      <c r="H14" s="82"/>
      <c r="I14" s="80"/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20</v>
      </c>
      <c r="B17" s="191"/>
      <c r="C17" s="191"/>
      <c r="D17" s="84"/>
      <c r="E17" s="84"/>
      <c r="F17" s="84"/>
      <c r="G17" s="194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5">
      <c r="A20" s="39" t="s">
        <v>23</v>
      </c>
      <c r="B20" s="86">
        <v>209982850.23</v>
      </c>
      <c r="C20" s="86">
        <v>172458734.52</v>
      </c>
      <c r="D20" s="8"/>
      <c r="E20" s="8"/>
      <c r="F20" s="8"/>
      <c r="G20" s="81">
        <v>382441584.75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v>3683627.31</v>
      </c>
      <c r="D27" s="8"/>
      <c r="E27" s="8"/>
      <c r="F27" s="8"/>
      <c r="G27" s="81"/>
      <c r="H27" s="82"/>
      <c r="I27" s="80"/>
    </row>
    <row r="28" spans="1:9" ht="15">
      <c r="A28" s="40" t="s">
        <v>81</v>
      </c>
      <c r="B28" s="8"/>
      <c r="C28" s="8">
        <v>98388.6</v>
      </c>
      <c r="D28" s="8"/>
      <c r="E28" s="8"/>
      <c r="F28" s="8"/>
      <c r="G28" s="81"/>
      <c r="H28" s="82"/>
      <c r="I28" s="80"/>
    </row>
    <row r="29" spans="1:9" ht="15">
      <c r="A29" s="40" t="s">
        <v>89</v>
      </c>
      <c r="B29" s="8"/>
      <c r="C29" s="8">
        <v>225992.56</v>
      </c>
      <c r="D29" s="8"/>
      <c r="E29" s="8"/>
      <c r="F29" s="8"/>
      <c r="G29" s="81"/>
      <c r="H29" s="82"/>
      <c r="I29" s="80"/>
    </row>
    <row r="30" spans="1:9" ht="15">
      <c r="A30" s="40" t="s">
        <v>90</v>
      </c>
      <c r="B30" s="8"/>
      <c r="C30" s="8">
        <v>1994600</v>
      </c>
      <c r="D30" s="8"/>
      <c r="E30" s="8"/>
      <c r="F30" s="8"/>
      <c r="G30" s="81"/>
      <c r="H30" s="82"/>
      <c r="I30" s="80"/>
    </row>
    <row r="31" spans="1:9" ht="15">
      <c r="A31" s="40" t="s">
        <v>91</v>
      </c>
      <c r="B31" s="8"/>
      <c r="C31" s="8">
        <v>732976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92</v>
      </c>
      <c r="B33" s="8"/>
      <c r="C33" s="8">
        <v>2999100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2470727.45</v>
      </c>
      <c r="D37" s="8"/>
      <c r="E37" s="8"/>
      <c r="F37" s="8"/>
      <c r="G37" s="81"/>
      <c r="H37" s="82"/>
      <c r="I37" s="80"/>
    </row>
    <row r="38" spans="1:9" ht="15">
      <c r="A38" s="198" t="s">
        <v>82</v>
      </c>
      <c r="B38" s="204"/>
      <c r="C38" s="204">
        <v>5870000</v>
      </c>
      <c r="D38" s="204"/>
      <c r="E38" s="204"/>
      <c r="F38" s="204"/>
      <c r="G38" s="206"/>
      <c r="H38" s="82"/>
      <c r="I38" s="80"/>
    </row>
    <row r="39" spans="1:9" ht="15">
      <c r="A39" s="199"/>
      <c r="B39" s="205"/>
      <c r="C39" s="205"/>
      <c r="D39" s="205"/>
      <c r="E39" s="205"/>
      <c r="F39" s="205"/>
      <c r="G39" s="207"/>
      <c r="H39" s="82"/>
      <c r="I39" s="80"/>
    </row>
    <row r="40" spans="1:9" ht="15">
      <c r="A40" s="40" t="s">
        <v>83</v>
      </c>
      <c r="B40" s="93"/>
      <c r="C40" s="93">
        <v>4526660</v>
      </c>
      <c r="D40" s="93"/>
      <c r="E40" s="93"/>
      <c r="F40" s="93"/>
      <c r="G40" s="94"/>
      <c r="H40" s="82"/>
      <c r="I40" s="80"/>
    </row>
    <row r="41" spans="1:9" ht="15">
      <c r="A41" s="40" t="s">
        <v>84</v>
      </c>
      <c r="B41" s="93"/>
      <c r="C41" s="93">
        <v>888000</v>
      </c>
      <c r="D41" s="93"/>
      <c r="E41" s="93"/>
      <c r="F41" s="93"/>
      <c r="G41" s="94"/>
      <c r="H41" s="82"/>
      <c r="I41" s="80"/>
    </row>
    <row r="42" spans="1:9" ht="15">
      <c r="A42" s="40" t="s">
        <v>87</v>
      </c>
      <c r="B42" s="93"/>
      <c r="C42" s="93">
        <v>6914750</v>
      </c>
      <c r="D42" s="93"/>
      <c r="E42" s="93"/>
      <c r="F42" s="93"/>
      <c r="G42" s="94"/>
      <c r="H42" s="82"/>
      <c r="I42" s="80"/>
    </row>
    <row r="43" spans="1:9" ht="15">
      <c r="A43" s="40"/>
      <c r="B43" s="93"/>
      <c r="C43" s="93"/>
      <c r="D43" s="93"/>
      <c r="E43" s="93"/>
      <c r="F43" s="93"/>
      <c r="G43" s="94"/>
      <c r="H43" s="82"/>
      <c r="I43" s="80"/>
    </row>
    <row r="44" spans="1:9" ht="15">
      <c r="A44" s="40" t="s">
        <v>33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40" t="s">
        <v>34</v>
      </c>
      <c r="B45" s="8"/>
      <c r="C45" s="8"/>
      <c r="D45" s="8"/>
      <c r="E45" s="8"/>
      <c r="F45" s="8"/>
      <c r="G45" s="81"/>
      <c r="H45" s="82"/>
      <c r="I45" s="80"/>
    </row>
    <row r="46" spans="1:9" ht="15">
      <c r="A46" s="39" t="s">
        <v>35</v>
      </c>
      <c r="B46" s="86">
        <v>0</v>
      </c>
      <c r="C46" s="86">
        <v>33518842.599999998</v>
      </c>
      <c r="D46" s="8"/>
      <c r="E46" s="8"/>
      <c r="F46" s="8"/>
      <c r="G46" s="89">
        <v>33518842.599999998</v>
      </c>
      <c r="H46" s="82"/>
      <c r="I46" s="80"/>
    </row>
    <row r="47" spans="1:9" ht="15.75" thickBot="1">
      <c r="A47" s="44" t="s">
        <v>36</v>
      </c>
      <c r="B47" s="90">
        <v>209982850.23</v>
      </c>
      <c r="C47" s="90">
        <v>138939891.92000002</v>
      </c>
      <c r="D47" s="91"/>
      <c r="E47" s="91"/>
      <c r="F47" s="91"/>
      <c r="G47" s="92">
        <v>348922742.15</v>
      </c>
      <c r="H47" s="82"/>
      <c r="I47" s="80"/>
    </row>
    <row r="48" spans="1:9" ht="15">
      <c r="A48" s="20"/>
      <c r="B48" s="21"/>
      <c r="C48" s="21"/>
      <c r="D48" s="7"/>
      <c r="E48" s="7"/>
      <c r="F48" s="7"/>
      <c r="G48" s="21"/>
      <c r="H48" s="7"/>
      <c r="I48" s="22"/>
    </row>
    <row r="49" spans="1:9" ht="15">
      <c r="A49" s="23" t="s">
        <v>93</v>
      </c>
      <c r="B49" s="21"/>
      <c r="C49" s="21"/>
      <c r="D49" s="7"/>
      <c r="E49" s="7"/>
      <c r="F49" s="7"/>
      <c r="G49" s="21"/>
      <c r="H49" s="7"/>
      <c r="I49" s="22"/>
    </row>
    <row r="50" spans="3:7" ht="15">
      <c r="C50" s="24" t="s">
        <v>37</v>
      </c>
      <c r="D50" s="24"/>
      <c r="E50" s="24"/>
      <c r="F50" s="24"/>
      <c r="G50" s="24"/>
    </row>
    <row r="51" spans="3:7" ht="15">
      <c r="C51" s="24" t="s">
        <v>38</v>
      </c>
      <c r="D51" s="24"/>
      <c r="E51" s="24"/>
      <c r="F51" s="24"/>
      <c r="G51" s="24"/>
    </row>
    <row r="52" ht="14.25" customHeight="1"/>
    <row r="53" ht="14.25" customHeight="1"/>
    <row r="54" ht="14.25" customHeight="1"/>
    <row r="55" spans="2:9" ht="15" customHeight="1">
      <c r="B55" s="22"/>
      <c r="C55" s="22"/>
      <c r="F55" s="196" t="s">
        <v>70</v>
      </c>
      <c r="G55" s="195"/>
      <c r="H55" s="26"/>
      <c r="I55" s="26"/>
    </row>
    <row r="56" spans="2:9" ht="15" customHeight="1">
      <c r="B56" s="186"/>
      <c r="C56" s="186"/>
      <c r="F56" s="197" t="s">
        <v>71</v>
      </c>
      <c r="G56" s="187"/>
      <c r="H56" s="27"/>
      <c r="I56" s="27"/>
    </row>
    <row r="57" spans="2:9" ht="15" customHeight="1">
      <c r="B57" s="186"/>
      <c r="C57" s="186"/>
      <c r="F57" s="187" t="s">
        <v>43</v>
      </c>
      <c r="G57" s="187"/>
      <c r="H57" s="27"/>
      <c r="I57" s="27"/>
    </row>
    <row r="58" spans="1:9" s="19" customFormat="1" ht="15">
      <c r="A58"/>
      <c r="B58"/>
      <c r="C58"/>
      <c r="D58"/>
      <c r="E58"/>
      <c r="F58"/>
      <c r="G58"/>
      <c r="H58"/>
      <c r="I58"/>
    </row>
    <row r="60" spans="1:9" s="19" customFormat="1" ht="15">
      <c r="A60"/>
      <c r="B60"/>
      <c r="D60"/>
      <c r="E60"/>
      <c r="F60"/>
      <c r="G60"/>
      <c r="H60"/>
      <c r="I60"/>
    </row>
    <row r="61" spans="1:9" s="19" customFormat="1" ht="15">
      <c r="A61"/>
      <c r="B61"/>
      <c r="C61" s="4"/>
      <c r="D61"/>
      <c r="E61"/>
      <c r="F61"/>
      <c r="G61"/>
      <c r="H61"/>
      <c r="I61"/>
    </row>
  </sheetData>
  <sheetProtection/>
  <mergeCells count="25">
    <mergeCell ref="F55:G55"/>
    <mergeCell ref="B56:C56"/>
    <mergeCell ref="F56:G56"/>
    <mergeCell ref="B57:C57"/>
    <mergeCell ref="F57:G57"/>
    <mergeCell ref="B14:B17"/>
    <mergeCell ref="C14:C17"/>
    <mergeCell ref="G14:G17"/>
    <mergeCell ref="A38:A39"/>
    <mergeCell ref="B38:B39"/>
    <mergeCell ref="C38:C39"/>
    <mergeCell ref="D38:D39"/>
    <mergeCell ref="E38:E39"/>
    <mergeCell ref="F38:F39"/>
    <mergeCell ref="G38:G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90" zoomScaleNormal="90" zoomScalePageLayoutView="0" workbookViewId="0" topLeftCell="A1">
      <pane ySplit="10" topLeftCell="A23" activePane="bottomLeft" state="frozen"/>
      <selection pane="topLeft" activeCell="A1" sqref="A1"/>
      <selection pane="bottomLeft" activeCell="F34" sqref="F34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94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s="97" customFormat="1" ht="15">
      <c r="A12" s="40" t="s">
        <v>68</v>
      </c>
      <c r="B12" s="8">
        <f>+G12*0.3</f>
        <v>42850781.699999996</v>
      </c>
      <c r="C12" s="8">
        <f>+G12*0.7</f>
        <v>99985157.3</v>
      </c>
      <c r="D12" s="8"/>
      <c r="E12" s="8"/>
      <c r="F12" s="8"/>
      <c r="G12" s="81">
        <v>142835939</v>
      </c>
      <c r="H12" s="82"/>
      <c r="I12" s="80"/>
    </row>
    <row r="13" spans="1:9" ht="15">
      <c r="A13" s="40" t="s">
        <v>16</v>
      </c>
      <c r="B13" s="8"/>
      <c r="C13" s="8">
        <f>59847712.49+85836272.03</f>
        <v>145683984.52</v>
      </c>
      <c r="D13" s="8"/>
      <c r="E13" s="8"/>
      <c r="F13" s="8"/>
      <c r="G13" s="81">
        <f>+C13</f>
        <v>145683984.52</v>
      </c>
      <c r="H13" s="82"/>
      <c r="I13" s="80"/>
    </row>
    <row r="14" spans="1:9" ht="15">
      <c r="A14" s="41" t="s">
        <v>17</v>
      </c>
      <c r="B14" s="189">
        <v>191235688.61</v>
      </c>
      <c r="C14" s="189"/>
      <c r="D14" s="10"/>
      <c r="E14" s="83"/>
      <c r="F14" s="83"/>
      <c r="G14" s="192">
        <f>+B14</f>
        <v>191235688.61</v>
      </c>
      <c r="H14" s="82"/>
      <c r="I14" s="80"/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20</v>
      </c>
      <c r="B17" s="191"/>
      <c r="C17" s="191"/>
      <c r="D17" s="84"/>
      <c r="E17" s="84"/>
      <c r="F17" s="84"/>
      <c r="G17" s="194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5">
      <c r="A20" s="39" t="s">
        <v>23</v>
      </c>
      <c r="B20" s="86">
        <f>SUM(B12:B19)</f>
        <v>234086470.31</v>
      </c>
      <c r="C20" s="86">
        <f>SUM(C12:C19)</f>
        <v>245669141.82</v>
      </c>
      <c r="D20" s="8"/>
      <c r="E20" s="8"/>
      <c r="F20" s="8"/>
      <c r="G20" s="81">
        <f>SUM(B20:F20)</f>
        <v>479755612.13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5">
      <c r="A23" s="40" t="s">
        <v>26</v>
      </c>
      <c r="B23" s="8"/>
      <c r="C23" s="8"/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/>
      <c r="D27" s="8"/>
      <c r="E27" s="8"/>
      <c r="F27" s="8"/>
      <c r="G27" s="81"/>
      <c r="H27" s="82"/>
      <c r="I27" s="80"/>
    </row>
    <row r="28" spans="1:9" ht="15">
      <c r="A28" s="40" t="s">
        <v>81</v>
      </c>
      <c r="B28" s="8"/>
      <c r="C28" s="8"/>
      <c r="D28" s="8"/>
      <c r="E28" s="8"/>
      <c r="F28" s="8"/>
      <c r="G28" s="81"/>
      <c r="H28" s="82"/>
      <c r="I28" s="80"/>
    </row>
    <row r="29" spans="1:9" ht="15">
      <c r="A29" s="40" t="s">
        <v>89</v>
      </c>
      <c r="B29" s="8"/>
      <c r="C29" s="8"/>
      <c r="D29" s="8"/>
      <c r="E29" s="8"/>
      <c r="F29" s="8"/>
      <c r="G29" s="81"/>
      <c r="H29" s="82"/>
      <c r="I29" s="80"/>
    </row>
    <row r="30" spans="1:9" ht="15">
      <c r="A30" s="40" t="s">
        <v>90</v>
      </c>
      <c r="B30" s="8"/>
      <c r="C30" s="8"/>
      <c r="D30" s="8"/>
      <c r="E30" s="8"/>
      <c r="F30" s="8"/>
      <c r="G30" s="81"/>
      <c r="H30" s="82"/>
      <c r="I30" s="80"/>
    </row>
    <row r="31" spans="1:9" ht="15">
      <c r="A31" s="40" t="s">
        <v>91</v>
      </c>
      <c r="B31" s="8"/>
      <c r="C31" s="8"/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92</v>
      </c>
      <c r="B33" s="8"/>
      <c r="C33" s="8"/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32</v>
      </c>
      <c r="B35" s="8"/>
      <c r="C35" s="8"/>
      <c r="D35" s="8"/>
      <c r="E35" s="8"/>
      <c r="F35" s="8"/>
      <c r="G35" s="81"/>
      <c r="H35" s="82"/>
      <c r="I35" s="80"/>
    </row>
    <row r="36" spans="1:9" ht="15">
      <c r="A36" s="40" t="s">
        <v>97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96</v>
      </c>
      <c r="B37" s="95"/>
      <c r="C37" s="95"/>
      <c r="D37" s="95"/>
      <c r="E37" s="95"/>
      <c r="F37" s="95"/>
      <c r="G37" s="96"/>
      <c r="H37" s="82"/>
      <c r="I37" s="80"/>
    </row>
    <row r="38" spans="1:9" ht="15">
      <c r="A38" s="40" t="s">
        <v>33</v>
      </c>
      <c r="B38" s="8"/>
      <c r="C38" s="8"/>
      <c r="D38" s="8"/>
      <c r="E38" s="8"/>
      <c r="F38" s="8"/>
      <c r="G38" s="81"/>
      <c r="H38" s="82"/>
      <c r="I38" s="80"/>
    </row>
    <row r="39" spans="1:9" ht="15">
      <c r="A39" s="40" t="s">
        <v>34</v>
      </c>
      <c r="B39" s="8"/>
      <c r="C39" s="8"/>
      <c r="D39" s="8"/>
      <c r="E39" s="8"/>
      <c r="F39" s="8"/>
      <c r="G39" s="81"/>
      <c r="H39" s="82"/>
      <c r="I39" s="80"/>
    </row>
    <row r="40" spans="1:9" ht="15">
      <c r="A40" s="39" t="s">
        <v>35</v>
      </c>
      <c r="B40" s="86">
        <f>+SUM(B21:B39)</f>
        <v>0</v>
      </c>
      <c r="C40" s="86">
        <f>+SUM(C21:C39)</f>
        <v>0</v>
      </c>
      <c r="D40" s="8"/>
      <c r="E40" s="8"/>
      <c r="F40" s="8"/>
      <c r="G40" s="89"/>
      <c r="H40" s="82"/>
      <c r="I40" s="80"/>
    </row>
    <row r="41" spans="1:9" ht="15.75" thickBot="1">
      <c r="A41" s="44" t="s">
        <v>36</v>
      </c>
      <c r="B41" s="90">
        <f>+B20-B40</f>
        <v>234086470.31</v>
      </c>
      <c r="C41" s="90">
        <f>+C20-C40</f>
        <v>245669141.82</v>
      </c>
      <c r="D41" s="91"/>
      <c r="E41" s="91"/>
      <c r="F41" s="91"/>
      <c r="G41" s="92">
        <f>+G20</f>
        <v>479755612.13</v>
      </c>
      <c r="H41" s="82"/>
      <c r="I41" s="80"/>
    </row>
    <row r="42" spans="1:9" ht="15">
      <c r="A42" s="20"/>
      <c r="B42" s="21"/>
      <c r="C42" s="21"/>
      <c r="D42" s="7"/>
      <c r="E42" s="7"/>
      <c r="F42" s="7"/>
      <c r="G42" s="21"/>
      <c r="H42" s="7"/>
      <c r="I42" s="22"/>
    </row>
    <row r="43" spans="1:9" ht="15">
      <c r="A43" s="23" t="s">
        <v>95</v>
      </c>
      <c r="B43" s="21"/>
      <c r="C43" s="21"/>
      <c r="D43" s="7"/>
      <c r="E43" s="7"/>
      <c r="F43" s="7"/>
      <c r="G43" s="21"/>
      <c r="H43" s="7"/>
      <c r="I43" s="22"/>
    </row>
    <row r="44" spans="3:7" ht="15">
      <c r="C44" s="24" t="s">
        <v>37</v>
      </c>
      <c r="D44" s="24"/>
      <c r="E44" s="24"/>
      <c r="F44" s="24"/>
      <c r="G44" s="24"/>
    </row>
    <row r="45" spans="3:7" ht="15">
      <c r="C45" s="24" t="s">
        <v>38</v>
      </c>
      <c r="D45" s="24"/>
      <c r="E45" s="24"/>
      <c r="F45" s="24"/>
      <c r="G45" s="24"/>
    </row>
    <row r="46" ht="14.25" customHeight="1"/>
    <row r="47" ht="14.25" customHeight="1"/>
    <row r="48" ht="14.25" customHeight="1"/>
    <row r="49" spans="2:9" ht="15" customHeight="1">
      <c r="B49" s="22"/>
      <c r="C49" s="22"/>
      <c r="F49" s="196" t="s">
        <v>70</v>
      </c>
      <c r="G49" s="195"/>
      <c r="H49" s="26"/>
      <c r="I49" s="26"/>
    </row>
    <row r="50" spans="2:9" ht="15" customHeight="1">
      <c r="B50" s="186"/>
      <c r="C50" s="186"/>
      <c r="F50" s="197" t="s">
        <v>71</v>
      </c>
      <c r="G50" s="187"/>
      <c r="H50" s="27"/>
      <c r="I50" s="27"/>
    </row>
    <row r="51" spans="2:9" ht="15" customHeight="1">
      <c r="B51" s="186"/>
      <c r="C51" s="186"/>
      <c r="F51" s="187" t="s">
        <v>43</v>
      </c>
      <c r="G51" s="187"/>
      <c r="H51" s="27"/>
      <c r="I51" s="27"/>
    </row>
    <row r="52" spans="1:9" s="19" customFormat="1" ht="15">
      <c r="A52"/>
      <c r="B52"/>
      <c r="C52"/>
      <c r="D52"/>
      <c r="E52"/>
      <c r="F52"/>
      <c r="G52"/>
      <c r="H52"/>
      <c r="I52"/>
    </row>
    <row r="54" spans="1:9" s="19" customFormat="1" ht="15">
      <c r="A54"/>
      <c r="B54"/>
      <c r="D54"/>
      <c r="E54"/>
      <c r="F54"/>
      <c r="G54"/>
      <c r="H54"/>
      <c r="I54"/>
    </row>
    <row r="55" spans="1:9" s="19" customFormat="1" ht="15">
      <c r="A55"/>
      <c r="B55"/>
      <c r="C55" s="4"/>
      <c r="D55"/>
      <c r="E55"/>
      <c r="F55"/>
      <c r="G55"/>
      <c r="H55"/>
      <c r="I55"/>
    </row>
  </sheetData>
  <sheetProtection/>
  <mergeCells count="18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B51:C51"/>
    <mergeCell ref="F51:G51"/>
    <mergeCell ref="B14:B17"/>
    <mergeCell ref="C14:C17"/>
    <mergeCell ref="G14:G17"/>
    <mergeCell ref="F49:G49"/>
    <mergeCell ref="B50:C50"/>
    <mergeCell ref="F50:G50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90" zoomScaleNormal="90" zoomScalePageLayoutView="0" workbookViewId="0" topLeftCell="A1">
      <pane ySplit="10" topLeftCell="A23" activePane="bottomLeft" state="frozen"/>
      <selection pane="topLeft" activeCell="A1" sqref="A1"/>
      <selection pane="bottomLeft" activeCell="B20" sqref="B20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98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s="97" customFormat="1" ht="15">
      <c r="A12" s="40" t="s">
        <v>68</v>
      </c>
      <c r="B12" s="8">
        <f>+G12*0.3</f>
        <v>42850781.699999996</v>
      </c>
      <c r="C12" s="8">
        <f>+G12*0.7</f>
        <v>99985157.3</v>
      </c>
      <c r="D12" s="8"/>
      <c r="E12" s="8"/>
      <c r="F12" s="8"/>
      <c r="G12" s="81">
        <v>142835939</v>
      </c>
      <c r="H12" s="82"/>
      <c r="I12" s="80"/>
    </row>
    <row r="13" spans="1:9" ht="15">
      <c r="A13" s="40" t="s">
        <v>16</v>
      </c>
      <c r="B13" s="8"/>
      <c r="C13" s="8">
        <f>59847712.49+85836272.03</f>
        <v>145683984.52</v>
      </c>
      <c r="D13" s="8"/>
      <c r="E13" s="8"/>
      <c r="F13" s="8"/>
      <c r="G13" s="81">
        <f>+C13</f>
        <v>145683984.52</v>
      </c>
      <c r="H13" s="82"/>
      <c r="I13" s="80"/>
    </row>
    <row r="14" spans="1:9" ht="15">
      <c r="A14" s="41" t="s">
        <v>17</v>
      </c>
      <c r="B14" s="189">
        <v>191235688.61</v>
      </c>
      <c r="C14" s="189"/>
      <c r="D14" s="10"/>
      <c r="E14" s="83"/>
      <c r="F14" s="83"/>
      <c r="G14" s="192">
        <f>+B14</f>
        <v>191235688.61</v>
      </c>
      <c r="H14" s="82"/>
      <c r="I14" s="80"/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20</v>
      </c>
      <c r="B17" s="191"/>
      <c r="C17" s="191"/>
      <c r="D17" s="84"/>
      <c r="E17" s="84"/>
      <c r="F17" s="84"/>
      <c r="G17" s="194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5">
      <c r="A20" s="39" t="s">
        <v>23</v>
      </c>
      <c r="B20" s="86">
        <f>SUM(B12:B19)</f>
        <v>234086470.31</v>
      </c>
      <c r="C20" s="86">
        <f>SUM(C12:C19)</f>
        <v>245669141.82</v>
      </c>
      <c r="D20" s="8"/>
      <c r="E20" s="8"/>
      <c r="F20" s="8"/>
      <c r="G20" s="81">
        <f>SUM(B20:F20)</f>
        <v>479755612.13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5">
      <c r="A23" s="40" t="s">
        <v>26</v>
      </c>
      <c r="B23" s="8"/>
      <c r="C23" s="8"/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/>
      <c r="D27" s="8"/>
      <c r="E27" s="8"/>
      <c r="F27" s="8"/>
      <c r="G27" s="81"/>
      <c r="H27" s="82"/>
      <c r="I27" s="80"/>
    </row>
    <row r="28" spans="1:9" ht="15">
      <c r="A28" s="40" t="s">
        <v>81</v>
      </c>
      <c r="B28" s="8"/>
      <c r="C28" s="8"/>
      <c r="D28" s="8"/>
      <c r="E28" s="8"/>
      <c r="F28" s="8"/>
      <c r="G28" s="81"/>
      <c r="H28" s="82"/>
      <c r="I28" s="80"/>
    </row>
    <row r="29" spans="1:9" ht="15">
      <c r="A29" s="40" t="s">
        <v>89</v>
      </c>
      <c r="B29" s="8"/>
      <c r="C29" s="8"/>
      <c r="D29" s="8"/>
      <c r="E29" s="8"/>
      <c r="F29" s="8"/>
      <c r="G29" s="81"/>
      <c r="H29" s="82"/>
      <c r="I29" s="80"/>
    </row>
    <row r="30" spans="1:9" ht="15">
      <c r="A30" s="40" t="s">
        <v>90</v>
      </c>
      <c r="B30" s="8"/>
      <c r="C30" s="8"/>
      <c r="D30" s="8"/>
      <c r="E30" s="8"/>
      <c r="F30" s="8"/>
      <c r="G30" s="81"/>
      <c r="H30" s="82"/>
      <c r="I30" s="80"/>
    </row>
    <row r="31" spans="1:9" ht="15">
      <c r="A31" s="40" t="s">
        <v>91</v>
      </c>
      <c r="B31" s="8"/>
      <c r="C31" s="8"/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92</v>
      </c>
      <c r="B33" s="8"/>
      <c r="C33" s="8"/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32</v>
      </c>
      <c r="B35" s="8"/>
      <c r="C35" s="8"/>
      <c r="D35" s="8"/>
      <c r="E35" s="8"/>
      <c r="F35" s="8"/>
      <c r="G35" s="81"/>
      <c r="H35" s="82"/>
      <c r="I35" s="80"/>
    </row>
    <row r="36" spans="1:9" ht="15">
      <c r="A36" s="40" t="s">
        <v>100</v>
      </c>
      <c r="B36" s="8"/>
      <c r="C36" s="8">
        <v>990000</v>
      </c>
      <c r="D36" s="8"/>
      <c r="E36" s="8"/>
      <c r="F36" s="8"/>
      <c r="G36" s="81"/>
      <c r="H36" s="82"/>
      <c r="I36" s="80"/>
    </row>
    <row r="37" spans="1:9" ht="15">
      <c r="A37" s="40" t="s">
        <v>101</v>
      </c>
      <c r="B37" s="98"/>
      <c r="C37" s="98">
        <v>1993509</v>
      </c>
      <c r="D37" s="98"/>
      <c r="E37" s="98"/>
      <c r="F37" s="98"/>
      <c r="G37" s="99"/>
      <c r="H37" s="82"/>
      <c r="I37" s="80"/>
    </row>
    <row r="38" spans="1:9" ht="15">
      <c r="A38" s="40" t="s">
        <v>33</v>
      </c>
      <c r="B38" s="8"/>
      <c r="C38" s="8"/>
      <c r="D38" s="8"/>
      <c r="E38" s="8"/>
      <c r="F38" s="8"/>
      <c r="G38" s="81"/>
      <c r="H38" s="82"/>
      <c r="I38" s="80"/>
    </row>
    <row r="39" spans="1:9" ht="15">
      <c r="A39" s="40" t="s">
        <v>34</v>
      </c>
      <c r="B39" s="8"/>
      <c r="C39" s="8"/>
      <c r="D39" s="8"/>
      <c r="E39" s="8"/>
      <c r="F39" s="8"/>
      <c r="G39" s="81"/>
      <c r="H39" s="82"/>
      <c r="I39" s="80"/>
    </row>
    <row r="40" spans="1:9" ht="15">
      <c r="A40" s="39" t="s">
        <v>35</v>
      </c>
      <c r="B40" s="86">
        <f>+SUM(B21:B39)</f>
        <v>0</v>
      </c>
      <c r="C40" s="86">
        <f>+SUM(C21:C39)</f>
        <v>2983509</v>
      </c>
      <c r="D40" s="8"/>
      <c r="E40" s="8"/>
      <c r="F40" s="8"/>
      <c r="G40" s="89"/>
      <c r="H40" s="82"/>
      <c r="I40" s="80"/>
    </row>
    <row r="41" spans="1:9" ht="15.75" thickBot="1">
      <c r="A41" s="44" t="s">
        <v>36</v>
      </c>
      <c r="B41" s="90">
        <f>+B20-B40</f>
        <v>234086470.31</v>
      </c>
      <c r="C41" s="90">
        <f>+C20-C40</f>
        <v>242685632.82</v>
      </c>
      <c r="D41" s="91"/>
      <c r="E41" s="91"/>
      <c r="F41" s="91"/>
      <c r="G41" s="92">
        <f>+G20</f>
        <v>479755612.13</v>
      </c>
      <c r="H41" s="82"/>
      <c r="I41" s="80"/>
    </row>
    <row r="42" spans="1:9" ht="15">
      <c r="A42" s="20"/>
      <c r="B42" s="21"/>
      <c r="C42" s="21"/>
      <c r="D42" s="7"/>
      <c r="E42" s="7"/>
      <c r="F42" s="7"/>
      <c r="G42" s="21"/>
      <c r="H42" s="7"/>
      <c r="I42" s="22"/>
    </row>
    <row r="43" spans="1:9" ht="15">
      <c r="A43" s="23" t="s">
        <v>95</v>
      </c>
      <c r="B43" s="21"/>
      <c r="C43" s="21"/>
      <c r="D43" s="7"/>
      <c r="E43" s="7"/>
      <c r="F43" s="7"/>
      <c r="G43" s="21"/>
      <c r="H43" s="7"/>
      <c r="I43" s="22"/>
    </row>
    <row r="44" spans="3:7" ht="15">
      <c r="C44" s="24" t="s">
        <v>37</v>
      </c>
      <c r="D44" s="24"/>
      <c r="E44" s="24"/>
      <c r="F44" s="24"/>
      <c r="G44" s="24"/>
    </row>
    <row r="45" spans="3:7" ht="15">
      <c r="C45" s="24" t="s">
        <v>38</v>
      </c>
      <c r="D45" s="24"/>
      <c r="E45" s="24"/>
      <c r="F45" s="24"/>
      <c r="G45" s="24"/>
    </row>
    <row r="46" ht="14.25" customHeight="1"/>
    <row r="47" ht="14.25" customHeight="1"/>
    <row r="48" ht="14.25" customHeight="1"/>
    <row r="49" spans="2:9" ht="15" customHeight="1">
      <c r="B49" s="22"/>
      <c r="C49" s="22"/>
      <c r="F49" s="196" t="s">
        <v>70</v>
      </c>
      <c r="G49" s="195"/>
      <c r="H49" s="26"/>
      <c r="I49" s="26"/>
    </row>
    <row r="50" spans="2:9" ht="15" customHeight="1">
      <c r="B50" s="186"/>
      <c r="C50" s="186"/>
      <c r="F50" s="197" t="s">
        <v>71</v>
      </c>
      <c r="G50" s="187"/>
      <c r="H50" s="27"/>
      <c r="I50" s="27"/>
    </row>
    <row r="51" spans="2:9" ht="15" customHeight="1">
      <c r="B51" s="186"/>
      <c r="C51" s="186"/>
      <c r="F51" s="187" t="s">
        <v>43</v>
      </c>
      <c r="G51" s="187"/>
      <c r="H51" s="27"/>
      <c r="I51" s="27"/>
    </row>
    <row r="52" spans="1:9" s="19" customFormat="1" ht="15">
      <c r="A52"/>
      <c r="B52"/>
      <c r="C52"/>
      <c r="D52"/>
      <c r="E52"/>
      <c r="F52"/>
      <c r="G52"/>
      <c r="H52"/>
      <c r="I52"/>
    </row>
    <row r="54" spans="1:9" s="19" customFormat="1" ht="15">
      <c r="A54"/>
      <c r="B54"/>
      <c r="D54"/>
      <c r="E54"/>
      <c r="F54"/>
      <c r="G54"/>
      <c r="H54"/>
      <c r="I54"/>
    </row>
    <row r="55" spans="1:9" s="19" customFormat="1" ht="15">
      <c r="A55"/>
      <c r="B55"/>
      <c r="C55" s="4"/>
      <c r="D55"/>
      <c r="E55"/>
      <c r="F55"/>
      <c r="G55"/>
      <c r="H55"/>
      <c r="I55"/>
    </row>
  </sheetData>
  <sheetProtection/>
  <mergeCells count="18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B51:C51"/>
    <mergeCell ref="F51:G51"/>
    <mergeCell ref="B14:B17"/>
    <mergeCell ref="C14:C17"/>
    <mergeCell ref="G14:G17"/>
    <mergeCell ref="F49:G49"/>
    <mergeCell ref="B50:C50"/>
    <mergeCell ref="F50:G50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90" zoomScaleNormal="90" zoomScalePageLayoutView="0" workbookViewId="0" topLeftCell="A1">
      <pane ySplit="10" topLeftCell="A23" activePane="bottomLeft" state="frozen"/>
      <selection pane="topLeft" activeCell="A1" sqref="A1"/>
      <selection pane="bottomLeft" activeCell="F42" sqref="F42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99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s="97" customFormat="1" ht="15">
      <c r="A12" s="40" t="s">
        <v>68</v>
      </c>
      <c r="B12" s="8">
        <f>+G12*0.3</f>
        <v>42850781.699999996</v>
      </c>
      <c r="C12" s="8">
        <f>+G12*0.7</f>
        <v>99985157.3</v>
      </c>
      <c r="D12" s="8"/>
      <c r="E12" s="8"/>
      <c r="F12" s="8"/>
      <c r="G12" s="81">
        <v>142835939</v>
      </c>
      <c r="H12" s="82"/>
      <c r="I12" s="80"/>
    </row>
    <row r="13" spans="1:9" ht="15">
      <c r="A13" s="40" t="s">
        <v>16</v>
      </c>
      <c r="B13" s="8"/>
      <c r="C13" s="8">
        <f>59847712.49+85836272.03</f>
        <v>145683984.52</v>
      </c>
      <c r="D13" s="8"/>
      <c r="E13" s="8"/>
      <c r="F13" s="8"/>
      <c r="G13" s="81">
        <f>+C13</f>
        <v>145683984.52</v>
      </c>
      <c r="H13" s="82"/>
      <c r="I13" s="80"/>
    </row>
    <row r="14" spans="1:9" ht="15">
      <c r="A14" s="41" t="s">
        <v>17</v>
      </c>
      <c r="B14" s="189">
        <v>191235688.61</v>
      </c>
      <c r="C14" s="189"/>
      <c r="D14" s="10"/>
      <c r="E14" s="83"/>
      <c r="F14" s="83"/>
      <c r="G14" s="192">
        <f>+B14</f>
        <v>191235688.61</v>
      </c>
      <c r="H14" s="82"/>
      <c r="I14" s="80"/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20</v>
      </c>
      <c r="B17" s="191"/>
      <c r="C17" s="191"/>
      <c r="D17" s="84"/>
      <c r="E17" s="84"/>
      <c r="F17" s="84"/>
      <c r="G17" s="194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5">
      <c r="A20" s="39" t="s">
        <v>23</v>
      </c>
      <c r="B20" s="86">
        <f>SUM(B12:B19)</f>
        <v>234086470.31</v>
      </c>
      <c r="C20" s="86">
        <f>SUM(C12:C19)</f>
        <v>245669141.82</v>
      </c>
      <c r="D20" s="8"/>
      <c r="E20" s="8"/>
      <c r="F20" s="8"/>
      <c r="G20" s="81">
        <f>SUM(B20:F20)</f>
        <v>479755612.13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5">
      <c r="A23" s="40" t="s">
        <v>26</v>
      </c>
      <c r="B23" s="8"/>
      <c r="C23" s="8"/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/>
      <c r="D27" s="8"/>
      <c r="E27" s="8"/>
      <c r="F27" s="8"/>
      <c r="G27" s="81"/>
      <c r="H27" s="82"/>
      <c r="I27" s="80"/>
    </row>
    <row r="28" spans="1:9" ht="15">
      <c r="A28" s="40" t="s">
        <v>81</v>
      </c>
      <c r="B28" s="8"/>
      <c r="C28" s="8">
        <f>4183.18</f>
        <v>4183.18</v>
      </c>
      <c r="D28" s="8"/>
      <c r="E28" s="8"/>
      <c r="F28" s="8"/>
      <c r="G28" s="81"/>
      <c r="H28" s="82"/>
      <c r="I28" s="80"/>
    </row>
    <row r="29" spans="1:9" ht="15">
      <c r="A29" s="40" t="s">
        <v>89</v>
      </c>
      <c r="B29" s="8"/>
      <c r="C29" s="8"/>
      <c r="D29" s="8"/>
      <c r="E29" s="8"/>
      <c r="F29" s="8"/>
      <c r="G29" s="81"/>
      <c r="H29" s="82"/>
      <c r="I29" s="80"/>
    </row>
    <row r="30" spans="1:9" ht="15">
      <c r="A30" s="40" t="s">
        <v>90</v>
      </c>
      <c r="B30" s="8"/>
      <c r="C30" s="8"/>
      <c r="D30" s="8"/>
      <c r="E30" s="8"/>
      <c r="F30" s="8"/>
      <c r="G30" s="81"/>
      <c r="H30" s="82"/>
      <c r="I30" s="80"/>
    </row>
    <row r="31" spans="1:9" ht="15">
      <c r="A31" s="40" t="s">
        <v>91</v>
      </c>
      <c r="B31" s="8"/>
      <c r="C31" s="8"/>
      <c r="D31" s="8"/>
      <c r="E31" s="8"/>
      <c r="F31" s="8"/>
      <c r="G31" s="81"/>
      <c r="H31" s="82"/>
      <c r="I31" s="80"/>
    </row>
    <row r="32" spans="1:9" ht="15" customHeight="1">
      <c r="A32" s="41" t="s">
        <v>102</v>
      </c>
      <c r="B32" s="8"/>
      <c r="C32" s="8">
        <v>445000</v>
      </c>
      <c r="D32" s="8"/>
      <c r="E32" s="8"/>
      <c r="F32" s="8"/>
      <c r="G32" s="81"/>
      <c r="H32" s="82"/>
      <c r="I32" s="80"/>
    </row>
    <row r="33" spans="1:9" ht="15" customHeight="1">
      <c r="A33" s="40" t="s">
        <v>92</v>
      </c>
      <c r="B33" s="8"/>
      <c r="C33" s="8"/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32</v>
      </c>
      <c r="B35" s="8"/>
      <c r="C35" s="8"/>
      <c r="D35" s="8"/>
      <c r="E35" s="8"/>
      <c r="F35" s="8"/>
      <c r="G35" s="81"/>
      <c r="H35" s="82"/>
      <c r="I35" s="80"/>
    </row>
    <row r="36" spans="1:9" ht="15">
      <c r="A36" s="40" t="s">
        <v>97</v>
      </c>
      <c r="B36" s="8"/>
      <c r="C36" s="8">
        <v>990000</v>
      </c>
      <c r="D36" s="8"/>
      <c r="E36" s="8"/>
      <c r="F36" s="8"/>
      <c r="G36" s="81"/>
      <c r="H36" s="82"/>
      <c r="I36" s="80"/>
    </row>
    <row r="37" spans="1:9" ht="15">
      <c r="A37" s="40" t="s">
        <v>96</v>
      </c>
      <c r="B37" s="98"/>
      <c r="C37" s="98">
        <v>1993509</v>
      </c>
      <c r="D37" s="98"/>
      <c r="E37" s="98"/>
      <c r="F37" s="98"/>
      <c r="G37" s="99"/>
      <c r="H37" s="82"/>
      <c r="I37" s="80"/>
    </row>
    <row r="38" spans="1:9" ht="15">
      <c r="A38" s="40" t="s">
        <v>103</v>
      </c>
      <c r="B38" s="100"/>
      <c r="C38" s="189">
        <v>1177462.53</v>
      </c>
      <c r="D38" s="100"/>
      <c r="E38" s="100"/>
      <c r="F38" s="100"/>
      <c r="G38" s="101"/>
      <c r="H38" s="82"/>
      <c r="I38" s="80"/>
    </row>
    <row r="39" spans="1:9" ht="15">
      <c r="A39" s="40" t="s">
        <v>104</v>
      </c>
      <c r="B39" s="100"/>
      <c r="C39" s="191"/>
      <c r="D39" s="100"/>
      <c r="E39" s="100"/>
      <c r="F39" s="100"/>
      <c r="G39" s="101"/>
      <c r="H39" s="82"/>
      <c r="I39" s="80"/>
    </row>
    <row r="40" spans="1:9" ht="15">
      <c r="A40" s="40" t="s">
        <v>33</v>
      </c>
      <c r="B40" s="8"/>
      <c r="C40" s="8"/>
      <c r="D40" s="8"/>
      <c r="E40" s="8"/>
      <c r="F40" s="8"/>
      <c r="G40" s="81"/>
      <c r="H40" s="82"/>
      <c r="I40" s="80"/>
    </row>
    <row r="41" spans="1:9" ht="15">
      <c r="A41" s="40" t="s">
        <v>34</v>
      </c>
      <c r="B41" s="8"/>
      <c r="C41" s="8"/>
      <c r="D41" s="8"/>
      <c r="E41" s="8"/>
      <c r="F41" s="8"/>
      <c r="G41" s="81"/>
      <c r="H41" s="82"/>
      <c r="I41" s="80"/>
    </row>
    <row r="42" spans="1:9" ht="15">
      <c r="A42" s="39" t="s">
        <v>35</v>
      </c>
      <c r="B42" s="86">
        <f>+SUM(B21:B41)</f>
        <v>0</v>
      </c>
      <c r="C42" s="86">
        <f>+SUM(C21:C41)</f>
        <v>4610154.71</v>
      </c>
      <c r="D42" s="8"/>
      <c r="E42" s="8"/>
      <c r="F42" s="8"/>
      <c r="G42" s="89"/>
      <c r="H42" s="82"/>
      <c r="I42" s="80"/>
    </row>
    <row r="43" spans="1:9" ht="15.75" thickBot="1">
      <c r="A43" s="44" t="s">
        <v>36</v>
      </c>
      <c r="B43" s="90">
        <f>+B20-B42</f>
        <v>234086470.31</v>
      </c>
      <c r="C43" s="90">
        <f>+C20-C42</f>
        <v>241058987.10999998</v>
      </c>
      <c r="D43" s="91"/>
      <c r="E43" s="91"/>
      <c r="F43" s="91"/>
      <c r="G43" s="92">
        <f>+G20</f>
        <v>479755612.13</v>
      </c>
      <c r="H43" s="82"/>
      <c r="I43" s="80"/>
    </row>
    <row r="44" spans="1:9" ht="15">
      <c r="A44" s="20"/>
      <c r="B44" s="21"/>
      <c r="C44" s="21"/>
      <c r="D44" s="7"/>
      <c r="E44" s="7"/>
      <c r="F44" s="7"/>
      <c r="G44" s="21"/>
      <c r="H44" s="7"/>
      <c r="I44" s="22"/>
    </row>
    <row r="45" spans="1:9" ht="15">
      <c r="A45" s="23" t="s">
        <v>95</v>
      </c>
      <c r="B45" s="21"/>
      <c r="C45" s="21"/>
      <c r="D45" s="7"/>
      <c r="E45" s="7"/>
      <c r="F45" s="7"/>
      <c r="G45" s="21"/>
      <c r="H45" s="7"/>
      <c r="I45" s="22"/>
    </row>
    <row r="46" spans="3:7" ht="15">
      <c r="C46" s="24" t="s">
        <v>37</v>
      </c>
      <c r="D46" s="24"/>
      <c r="E46" s="24"/>
      <c r="F46" s="24"/>
      <c r="G46" s="24"/>
    </row>
    <row r="47" spans="3:7" ht="15">
      <c r="C47" s="24" t="s">
        <v>38</v>
      </c>
      <c r="D47" s="24"/>
      <c r="E47" s="24"/>
      <c r="F47" s="24"/>
      <c r="G47" s="24"/>
    </row>
    <row r="48" ht="14.25" customHeight="1"/>
    <row r="49" ht="14.25" customHeight="1"/>
    <row r="50" ht="14.25" customHeight="1"/>
    <row r="51" spans="2:9" ht="15" customHeight="1">
      <c r="B51" s="22"/>
      <c r="C51" s="22"/>
      <c r="F51" s="196" t="s">
        <v>70</v>
      </c>
      <c r="G51" s="195"/>
      <c r="H51" s="26"/>
      <c r="I51" s="26"/>
    </row>
    <row r="52" spans="2:9" ht="15" customHeight="1">
      <c r="B52" s="186"/>
      <c r="C52" s="186"/>
      <c r="F52" s="197" t="s">
        <v>71</v>
      </c>
      <c r="G52" s="187"/>
      <c r="H52" s="27"/>
      <c r="I52" s="27"/>
    </row>
    <row r="53" spans="2:9" ht="15" customHeight="1">
      <c r="B53" s="186"/>
      <c r="C53" s="186"/>
      <c r="F53" s="187" t="s">
        <v>43</v>
      </c>
      <c r="G53" s="187"/>
      <c r="H53" s="27"/>
      <c r="I53" s="27"/>
    </row>
    <row r="54" spans="1:9" s="19" customFormat="1" ht="15">
      <c r="A54"/>
      <c r="B54"/>
      <c r="C54"/>
      <c r="D54"/>
      <c r="E54"/>
      <c r="F54"/>
      <c r="G54"/>
      <c r="H54"/>
      <c r="I54"/>
    </row>
    <row r="56" spans="1:9" s="19" customFormat="1" ht="15">
      <c r="A56"/>
      <c r="B56"/>
      <c r="D56"/>
      <c r="E56"/>
      <c r="F56"/>
      <c r="G56"/>
      <c r="H56"/>
      <c r="I56"/>
    </row>
    <row r="57" spans="1:9" s="19" customFormat="1" ht="15">
      <c r="A57"/>
      <c r="B57"/>
      <c r="C57" s="4"/>
      <c r="D57"/>
      <c r="E57"/>
      <c r="F57"/>
      <c r="G57"/>
      <c r="H57"/>
      <c r="I57"/>
    </row>
  </sheetData>
  <sheetProtection/>
  <mergeCells count="19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B53:C53"/>
    <mergeCell ref="F53:G53"/>
    <mergeCell ref="B14:B17"/>
    <mergeCell ref="C14:C17"/>
    <mergeCell ref="G14:G17"/>
    <mergeCell ref="F51:G51"/>
    <mergeCell ref="B52:C52"/>
    <mergeCell ref="F52:G52"/>
    <mergeCell ref="C38:C3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90" zoomScaleNormal="90" zoomScalePageLayoutView="0" workbookViewId="0" topLeftCell="A1">
      <pane ySplit="10" topLeftCell="A14" activePane="bottomLeft" state="frozen"/>
      <selection pane="topLeft" activeCell="A1" sqref="A1"/>
      <selection pane="bottomLeft" activeCell="C32" sqref="C32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108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s="97" customFormat="1" ht="15">
      <c r="A12" s="40" t="s">
        <v>68</v>
      </c>
      <c r="B12" s="8">
        <f>+G12*0.3</f>
        <v>42850781.699999996</v>
      </c>
      <c r="C12" s="8">
        <f>+G12*0.7</f>
        <v>99985157.3</v>
      </c>
      <c r="D12" s="8"/>
      <c r="E12" s="8"/>
      <c r="F12" s="8"/>
      <c r="G12" s="81">
        <v>142835939</v>
      </c>
      <c r="H12" s="82"/>
      <c r="I12" s="80"/>
    </row>
    <row r="13" spans="1:9" ht="15">
      <c r="A13" s="40" t="s">
        <v>16</v>
      </c>
      <c r="B13" s="8"/>
      <c r="C13" s="8">
        <f>59847712.49+85836272.03</f>
        <v>145683984.52</v>
      </c>
      <c r="D13" s="8"/>
      <c r="E13" s="8"/>
      <c r="F13" s="8"/>
      <c r="G13" s="81">
        <f>+C13</f>
        <v>145683984.52</v>
      </c>
      <c r="H13" s="82"/>
      <c r="I13" s="80"/>
    </row>
    <row r="14" spans="1:9" ht="15">
      <c r="A14" s="41" t="s">
        <v>17</v>
      </c>
      <c r="B14" s="189">
        <v>191235688.61</v>
      </c>
      <c r="C14" s="189"/>
      <c r="D14" s="10"/>
      <c r="E14" s="83"/>
      <c r="F14" s="83"/>
      <c r="G14" s="192">
        <f>+B14</f>
        <v>191235688.61</v>
      </c>
      <c r="H14" s="82"/>
      <c r="I14" s="80"/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20</v>
      </c>
      <c r="B17" s="191"/>
      <c r="C17" s="191"/>
      <c r="D17" s="84"/>
      <c r="E17" s="84"/>
      <c r="F17" s="84"/>
      <c r="G17" s="194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5">
      <c r="A20" s="39" t="s">
        <v>23</v>
      </c>
      <c r="B20" s="86">
        <f>SUM(B12:B19)</f>
        <v>234086470.31</v>
      </c>
      <c r="C20" s="86">
        <f>SUM(C12:C19)</f>
        <v>245669141.82</v>
      </c>
      <c r="D20" s="8"/>
      <c r="E20" s="8"/>
      <c r="F20" s="8"/>
      <c r="G20" s="81">
        <f>SUM(B20:F20)</f>
        <v>479755612.13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5">
      <c r="A23" s="40" t="s">
        <v>26</v>
      </c>
      <c r="B23" s="8"/>
      <c r="C23" s="8"/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/>
      <c r="D27" s="8"/>
      <c r="E27" s="8"/>
      <c r="F27" s="8"/>
      <c r="G27" s="81"/>
      <c r="H27" s="82"/>
      <c r="I27" s="80"/>
    </row>
    <row r="28" spans="1:9" ht="15">
      <c r="A28" s="40" t="s">
        <v>81</v>
      </c>
      <c r="B28" s="8"/>
      <c r="C28" s="8">
        <f>4183.18*3</f>
        <v>12549.54</v>
      </c>
      <c r="D28" s="8"/>
      <c r="E28" s="8"/>
      <c r="F28" s="8"/>
      <c r="G28" s="81"/>
      <c r="H28" s="82"/>
      <c r="I28" s="80"/>
    </row>
    <row r="29" spans="1:9" ht="15">
      <c r="A29" s="40" t="s">
        <v>89</v>
      </c>
      <c r="B29" s="8"/>
      <c r="C29" s="8"/>
      <c r="D29" s="8"/>
      <c r="E29" s="8"/>
      <c r="F29" s="8"/>
      <c r="G29" s="81"/>
      <c r="H29" s="82"/>
      <c r="I29" s="80"/>
    </row>
    <row r="30" spans="1:9" ht="15">
      <c r="A30" s="40" t="s">
        <v>90</v>
      </c>
      <c r="B30" s="8"/>
      <c r="C30" s="8"/>
      <c r="D30" s="8"/>
      <c r="E30" s="8"/>
      <c r="F30" s="8"/>
      <c r="G30" s="81"/>
      <c r="H30" s="82"/>
      <c r="I30" s="80"/>
    </row>
    <row r="31" spans="1:9" ht="15">
      <c r="A31" s="40" t="s">
        <v>91</v>
      </c>
      <c r="B31" s="8"/>
      <c r="C31" s="8"/>
      <c r="D31" s="8"/>
      <c r="E31" s="8"/>
      <c r="F31" s="8"/>
      <c r="G31" s="81"/>
      <c r="H31" s="82"/>
      <c r="I31" s="80"/>
    </row>
    <row r="32" spans="1:9" ht="15">
      <c r="A32" s="40" t="s">
        <v>107</v>
      </c>
      <c r="B32" s="8"/>
      <c r="C32" s="8">
        <v>410967.69</v>
      </c>
      <c r="D32" s="8"/>
      <c r="E32" s="8"/>
      <c r="F32" s="8"/>
      <c r="G32" s="81"/>
      <c r="H32" s="82"/>
      <c r="I32" s="80"/>
    </row>
    <row r="33" spans="1:9" ht="15" customHeight="1">
      <c r="A33" s="41" t="s">
        <v>102</v>
      </c>
      <c r="B33" s="8"/>
      <c r="C33" s="8">
        <v>445000</v>
      </c>
      <c r="D33" s="8"/>
      <c r="E33" s="8"/>
      <c r="F33" s="8"/>
      <c r="G33" s="81"/>
      <c r="H33" s="82"/>
      <c r="I33" s="80"/>
    </row>
    <row r="34" spans="1:9" ht="15" customHeight="1">
      <c r="A34" s="40" t="s">
        <v>92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2" t="s">
        <v>31</v>
      </c>
      <c r="B35" s="8"/>
      <c r="C35" s="8"/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97</v>
      </c>
      <c r="B37" s="8"/>
      <c r="C37" s="8">
        <v>990000</v>
      </c>
      <c r="D37" s="8"/>
      <c r="E37" s="8"/>
      <c r="F37" s="8"/>
      <c r="G37" s="81"/>
      <c r="H37" s="82"/>
      <c r="I37" s="80"/>
    </row>
    <row r="38" spans="1:9" ht="15">
      <c r="A38" s="40" t="s">
        <v>96</v>
      </c>
      <c r="B38" s="104"/>
      <c r="C38" s="104">
        <v>1993509</v>
      </c>
      <c r="D38" s="104"/>
      <c r="E38" s="104"/>
      <c r="F38" s="104"/>
      <c r="G38" s="105"/>
      <c r="H38" s="82"/>
      <c r="I38" s="80"/>
    </row>
    <row r="39" spans="1:9" ht="15">
      <c r="A39" s="40" t="s">
        <v>103</v>
      </c>
      <c r="B39" s="104"/>
      <c r="C39" s="189">
        <v>1177462.53</v>
      </c>
      <c r="D39" s="104"/>
      <c r="E39" s="104"/>
      <c r="F39" s="104"/>
      <c r="G39" s="105"/>
      <c r="H39" s="82"/>
      <c r="I39" s="80"/>
    </row>
    <row r="40" spans="1:9" ht="15">
      <c r="A40" s="40" t="s">
        <v>104</v>
      </c>
      <c r="B40" s="104"/>
      <c r="C40" s="191"/>
      <c r="D40" s="104"/>
      <c r="E40" s="104"/>
      <c r="F40" s="104"/>
      <c r="G40" s="105"/>
      <c r="H40" s="82"/>
      <c r="I40" s="80"/>
    </row>
    <row r="41" spans="1:9" ht="15">
      <c r="A41" s="40" t="s">
        <v>33</v>
      </c>
      <c r="B41" s="8"/>
      <c r="C41" s="8"/>
      <c r="D41" s="8"/>
      <c r="E41" s="8"/>
      <c r="F41" s="8"/>
      <c r="G41" s="81"/>
      <c r="H41" s="82"/>
      <c r="I41" s="80"/>
    </row>
    <row r="42" spans="1:9" ht="15">
      <c r="A42" s="40" t="s">
        <v>34</v>
      </c>
      <c r="B42" s="8"/>
      <c r="C42" s="8"/>
      <c r="D42" s="8"/>
      <c r="E42" s="8"/>
      <c r="F42" s="8"/>
      <c r="G42" s="81"/>
      <c r="H42" s="82"/>
      <c r="I42" s="80"/>
    </row>
    <row r="43" spans="1:9" ht="15">
      <c r="A43" s="39" t="s">
        <v>35</v>
      </c>
      <c r="B43" s="86">
        <f>+SUM(B21:B42)</f>
        <v>0</v>
      </c>
      <c r="C43" s="86">
        <f>+SUM(C21:C42)</f>
        <v>5029488.76</v>
      </c>
      <c r="D43" s="8"/>
      <c r="E43" s="8"/>
      <c r="F43" s="8"/>
      <c r="G43" s="89"/>
      <c r="H43" s="82"/>
      <c r="I43" s="80"/>
    </row>
    <row r="44" spans="1:9" ht="15.75" thickBot="1">
      <c r="A44" s="44" t="s">
        <v>36</v>
      </c>
      <c r="B44" s="90">
        <f>+B20-B43</f>
        <v>234086470.31</v>
      </c>
      <c r="C44" s="90">
        <f>+C20-C43</f>
        <v>240639653.06</v>
      </c>
      <c r="D44" s="91"/>
      <c r="E44" s="91"/>
      <c r="F44" s="91"/>
      <c r="G44" s="92">
        <f>+G20</f>
        <v>479755612.13</v>
      </c>
      <c r="H44" s="82"/>
      <c r="I44" s="80"/>
    </row>
    <row r="45" spans="1:9" ht="15">
      <c r="A45" s="20"/>
      <c r="B45" s="21"/>
      <c r="C45" s="21"/>
      <c r="D45" s="7"/>
      <c r="E45" s="7"/>
      <c r="F45" s="7"/>
      <c r="G45" s="21"/>
      <c r="H45" s="7"/>
      <c r="I45" s="22"/>
    </row>
    <row r="46" spans="1:9" ht="15">
      <c r="A46" s="23" t="s">
        <v>95</v>
      </c>
      <c r="B46" s="21"/>
      <c r="C46" s="21"/>
      <c r="D46" s="7"/>
      <c r="E46" s="7"/>
      <c r="F46" s="7"/>
      <c r="G46" s="21"/>
      <c r="H46" s="7"/>
      <c r="I46" s="22"/>
    </row>
    <row r="47" spans="3:7" ht="15">
      <c r="C47" s="24" t="s">
        <v>37</v>
      </c>
      <c r="D47" s="24"/>
      <c r="E47" s="24"/>
      <c r="F47" s="24"/>
      <c r="G47" s="24"/>
    </row>
    <row r="48" spans="3:7" ht="15">
      <c r="C48" s="24" t="s">
        <v>38</v>
      </c>
      <c r="D48" s="24"/>
      <c r="E48" s="24"/>
      <c r="F48" s="24"/>
      <c r="G48" s="24"/>
    </row>
    <row r="49" ht="14.25" customHeight="1"/>
    <row r="50" ht="14.25" customHeight="1"/>
    <row r="51" ht="14.25" customHeight="1"/>
    <row r="52" spans="2:9" ht="15" customHeight="1">
      <c r="B52" s="22"/>
      <c r="C52" s="22"/>
      <c r="F52" s="196" t="s">
        <v>70</v>
      </c>
      <c r="G52" s="195"/>
      <c r="H52" s="26"/>
      <c r="I52" s="26"/>
    </row>
    <row r="53" spans="2:9" ht="15" customHeight="1">
      <c r="B53" s="186"/>
      <c r="C53" s="186"/>
      <c r="F53" s="197" t="s">
        <v>71</v>
      </c>
      <c r="G53" s="187"/>
      <c r="H53" s="27"/>
      <c r="I53" s="27"/>
    </row>
    <row r="54" spans="2:9" ht="15" customHeight="1">
      <c r="B54" s="186"/>
      <c r="C54" s="186"/>
      <c r="F54" s="187" t="s">
        <v>43</v>
      </c>
      <c r="G54" s="187"/>
      <c r="H54" s="27"/>
      <c r="I54" s="27"/>
    </row>
    <row r="55" spans="1:9" s="19" customFormat="1" ht="15">
      <c r="A55"/>
      <c r="B55"/>
      <c r="C55"/>
      <c r="D55"/>
      <c r="E55"/>
      <c r="F55"/>
      <c r="G55"/>
      <c r="H55"/>
      <c r="I55"/>
    </row>
    <row r="57" spans="1:9" s="19" customFormat="1" ht="15">
      <c r="A57"/>
      <c r="B57"/>
      <c r="D57"/>
      <c r="E57"/>
      <c r="F57"/>
      <c r="G57"/>
      <c r="H57"/>
      <c r="I57"/>
    </row>
    <row r="58" spans="1:9" s="19" customFormat="1" ht="15">
      <c r="A58"/>
      <c r="B58"/>
      <c r="C58" s="4"/>
      <c r="D58"/>
      <c r="E58"/>
      <c r="F58"/>
      <c r="G58"/>
      <c r="H58"/>
      <c r="I58"/>
    </row>
  </sheetData>
  <sheetProtection/>
  <mergeCells count="19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B54:C54"/>
    <mergeCell ref="F54:G54"/>
    <mergeCell ref="B14:B17"/>
    <mergeCell ref="C14:C17"/>
    <mergeCell ref="G14:G17"/>
    <mergeCell ref="C39:C40"/>
    <mergeCell ref="F52:G52"/>
    <mergeCell ref="B53:C53"/>
    <mergeCell ref="F53:G53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C28" sqref="C28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109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s="97" customFormat="1" ht="15">
      <c r="A12" s="40" t="s">
        <v>68</v>
      </c>
      <c r="B12" s="8">
        <f>+G12*0.3</f>
        <v>42850781.699999996</v>
      </c>
      <c r="C12" s="8">
        <f>+G12*0.7</f>
        <v>99985157.3</v>
      </c>
      <c r="D12" s="8"/>
      <c r="E12" s="8"/>
      <c r="F12" s="8"/>
      <c r="G12" s="81">
        <v>142835939</v>
      </c>
      <c r="H12" s="82"/>
      <c r="I12" s="80"/>
    </row>
    <row r="13" spans="1:9" ht="15">
      <c r="A13" s="40" t="s">
        <v>16</v>
      </c>
      <c r="B13" s="8"/>
      <c r="C13" s="8">
        <f>59847712.49+85836272.03</f>
        <v>145683984.52</v>
      </c>
      <c r="D13" s="8"/>
      <c r="E13" s="8"/>
      <c r="F13" s="8"/>
      <c r="G13" s="81">
        <f>+C13</f>
        <v>145683984.52</v>
      </c>
      <c r="H13" s="82"/>
      <c r="I13" s="80"/>
    </row>
    <row r="14" spans="1:9" ht="15">
      <c r="A14" s="41" t="s">
        <v>17</v>
      </c>
      <c r="B14" s="189">
        <v>191235688.61</v>
      </c>
      <c r="C14" s="189"/>
      <c r="D14" s="10"/>
      <c r="E14" s="83"/>
      <c r="F14" s="83"/>
      <c r="G14" s="192">
        <f>+B14</f>
        <v>191235688.61</v>
      </c>
      <c r="H14" s="82"/>
      <c r="I14" s="80"/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20</v>
      </c>
      <c r="B17" s="191"/>
      <c r="C17" s="191"/>
      <c r="D17" s="84"/>
      <c r="E17" s="84"/>
      <c r="F17" s="84"/>
      <c r="G17" s="194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5">
      <c r="A20" s="39" t="s">
        <v>23</v>
      </c>
      <c r="B20" s="86">
        <f>SUM(B12:B19)</f>
        <v>234086470.31</v>
      </c>
      <c r="C20" s="86">
        <f>SUM(C12:C19)</f>
        <v>245669141.82</v>
      </c>
      <c r="D20" s="8"/>
      <c r="E20" s="8"/>
      <c r="F20" s="8"/>
      <c r="G20" s="81">
        <f>SUM(B20:F20)</f>
        <v>479755612.13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5">
      <c r="A23" s="40" t="s">
        <v>26</v>
      </c>
      <c r="B23" s="8"/>
      <c r="C23" s="8"/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/>
      <c r="D27" s="8"/>
      <c r="E27" s="8"/>
      <c r="F27" s="8"/>
      <c r="G27" s="81"/>
      <c r="H27" s="82"/>
      <c r="I27" s="80"/>
    </row>
    <row r="28" spans="1:9" ht="15">
      <c r="A28" s="40" t="s">
        <v>81</v>
      </c>
      <c r="B28" s="8"/>
      <c r="C28" s="8">
        <v>12549.54</v>
      </c>
      <c r="D28" s="8"/>
      <c r="E28" s="8"/>
      <c r="F28" s="8"/>
      <c r="G28" s="81"/>
      <c r="H28" s="82"/>
      <c r="I28" s="80"/>
    </row>
    <row r="29" spans="1:9" ht="15">
      <c r="A29" s="40" t="s">
        <v>89</v>
      </c>
      <c r="B29" s="8"/>
      <c r="C29" s="8"/>
      <c r="D29" s="8"/>
      <c r="E29" s="8"/>
      <c r="F29" s="8"/>
      <c r="G29" s="81"/>
      <c r="H29" s="82"/>
      <c r="I29" s="80"/>
    </row>
    <row r="30" spans="1:9" ht="15">
      <c r="A30" s="40" t="s">
        <v>90</v>
      </c>
      <c r="B30" s="8"/>
      <c r="C30" s="8"/>
      <c r="D30" s="8"/>
      <c r="E30" s="8"/>
      <c r="F30" s="8"/>
      <c r="G30" s="81"/>
      <c r="H30" s="82"/>
      <c r="I30" s="80"/>
    </row>
    <row r="31" spans="1:9" ht="15">
      <c r="A31" s="40" t="s">
        <v>91</v>
      </c>
      <c r="B31" s="8"/>
      <c r="C31" s="8"/>
      <c r="D31" s="8"/>
      <c r="E31" s="8"/>
      <c r="F31" s="8"/>
      <c r="G31" s="81"/>
      <c r="H31" s="82"/>
      <c r="I31" s="80"/>
    </row>
    <row r="32" spans="1:9" ht="15">
      <c r="A32" s="40" t="s">
        <v>107</v>
      </c>
      <c r="B32" s="8"/>
      <c r="C32" s="8">
        <v>410967.69</v>
      </c>
      <c r="D32" s="8"/>
      <c r="E32" s="8"/>
      <c r="F32" s="8"/>
      <c r="G32" s="81"/>
      <c r="H32" s="82"/>
      <c r="I32" s="80"/>
    </row>
    <row r="33" spans="1:9" ht="15" customHeight="1">
      <c r="A33" s="41" t="s">
        <v>102</v>
      </c>
      <c r="B33" s="8"/>
      <c r="C33" s="8">
        <v>445000</v>
      </c>
      <c r="D33" s="8"/>
      <c r="E33" s="8"/>
      <c r="F33" s="8"/>
      <c r="G33" s="81"/>
      <c r="H33" s="82"/>
      <c r="I33" s="80"/>
    </row>
    <row r="34" spans="1:9" ht="15" customHeight="1">
      <c r="A34" s="40" t="s">
        <v>92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2" t="s">
        <v>31</v>
      </c>
      <c r="B35" s="8"/>
      <c r="C35" s="8"/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97</v>
      </c>
      <c r="B37" s="8"/>
      <c r="C37" s="8">
        <v>990000</v>
      </c>
      <c r="D37" s="8"/>
      <c r="E37" s="8"/>
      <c r="F37" s="8"/>
      <c r="G37" s="81"/>
      <c r="H37" s="82"/>
      <c r="I37" s="80"/>
    </row>
    <row r="38" spans="1:9" ht="15">
      <c r="A38" s="40" t="s">
        <v>96</v>
      </c>
      <c r="B38" s="102"/>
      <c r="C38" s="102">
        <v>1993509</v>
      </c>
      <c r="D38" s="102"/>
      <c r="E38" s="102"/>
      <c r="F38" s="102"/>
      <c r="G38" s="103"/>
      <c r="H38" s="82"/>
      <c r="I38" s="80"/>
    </row>
    <row r="39" spans="1:9" ht="15">
      <c r="A39" s="216" t="s">
        <v>106</v>
      </c>
      <c r="B39" s="204"/>
      <c r="C39" s="189">
        <v>1177462.53</v>
      </c>
      <c r="D39" s="204"/>
      <c r="E39" s="204"/>
      <c r="F39" s="204"/>
      <c r="G39" s="206"/>
      <c r="H39" s="82"/>
      <c r="I39" s="80"/>
    </row>
    <row r="40" spans="1:9" ht="15">
      <c r="A40" s="217"/>
      <c r="B40" s="205"/>
      <c r="C40" s="191"/>
      <c r="D40" s="205"/>
      <c r="E40" s="205"/>
      <c r="F40" s="205"/>
      <c r="G40" s="207"/>
      <c r="H40" s="82"/>
      <c r="I40" s="80"/>
    </row>
    <row r="41" spans="1:9" ht="15">
      <c r="A41" s="40" t="s">
        <v>33</v>
      </c>
      <c r="B41" s="8"/>
      <c r="C41" s="8"/>
      <c r="D41" s="8"/>
      <c r="E41" s="8"/>
      <c r="F41" s="8"/>
      <c r="G41" s="81"/>
      <c r="H41" s="82"/>
      <c r="I41" s="80"/>
    </row>
    <row r="42" spans="1:9" ht="15">
      <c r="A42" s="40" t="s">
        <v>34</v>
      </c>
      <c r="B42" s="8"/>
      <c r="C42" s="8"/>
      <c r="D42" s="8"/>
      <c r="E42" s="8"/>
      <c r="F42" s="8"/>
      <c r="G42" s="81"/>
      <c r="H42" s="82"/>
      <c r="I42" s="80"/>
    </row>
    <row r="43" spans="1:9" ht="15">
      <c r="A43" s="39" t="s">
        <v>35</v>
      </c>
      <c r="B43" s="86">
        <f>+SUM(B21:B42)</f>
        <v>0</v>
      </c>
      <c r="C43" s="86">
        <f>+SUM(C21:C42)</f>
        <v>5029488.76</v>
      </c>
      <c r="D43" s="8"/>
      <c r="E43" s="8"/>
      <c r="F43" s="8"/>
      <c r="G43" s="89"/>
      <c r="H43" s="82"/>
      <c r="I43" s="80"/>
    </row>
    <row r="44" spans="1:9" ht="15.75" thickBot="1">
      <c r="A44" s="44" t="s">
        <v>36</v>
      </c>
      <c r="B44" s="90">
        <f>+B20-B43</f>
        <v>234086470.31</v>
      </c>
      <c r="C44" s="90">
        <f>+C20-C43</f>
        <v>240639653.06</v>
      </c>
      <c r="D44" s="91"/>
      <c r="E44" s="91"/>
      <c r="F44" s="91"/>
      <c r="G44" s="92">
        <f>+G20</f>
        <v>479755612.13</v>
      </c>
      <c r="H44" s="82"/>
      <c r="I44" s="80"/>
    </row>
    <row r="45" spans="1:9" ht="15">
      <c r="A45" s="20"/>
      <c r="B45" s="21"/>
      <c r="C45" s="21"/>
      <c r="D45" s="7"/>
      <c r="E45" s="7"/>
      <c r="F45" s="7"/>
      <c r="G45" s="21"/>
      <c r="H45" s="7"/>
      <c r="I45" s="22"/>
    </row>
    <row r="46" spans="1:9" ht="15">
      <c r="A46" s="23" t="s">
        <v>95</v>
      </c>
      <c r="B46" s="21"/>
      <c r="C46" s="21"/>
      <c r="D46" s="7"/>
      <c r="E46" s="7"/>
      <c r="F46" s="7"/>
      <c r="G46" s="21"/>
      <c r="H46" s="7"/>
      <c r="I46" s="22"/>
    </row>
    <row r="47" spans="3:7" ht="15">
      <c r="C47" s="24" t="s">
        <v>37</v>
      </c>
      <c r="D47" s="24"/>
      <c r="E47" s="24"/>
      <c r="F47" s="24"/>
      <c r="G47" s="24"/>
    </row>
    <row r="48" spans="3:7" ht="15">
      <c r="C48" s="24" t="s">
        <v>38</v>
      </c>
      <c r="D48" s="24"/>
      <c r="E48" s="24"/>
      <c r="F48" s="24"/>
      <c r="G48" s="24"/>
    </row>
    <row r="49" ht="14.25" customHeight="1"/>
    <row r="50" ht="14.25" customHeight="1"/>
    <row r="51" ht="14.25" customHeight="1"/>
    <row r="52" spans="2:9" ht="15" customHeight="1">
      <c r="B52" s="22"/>
      <c r="C52" s="22"/>
      <c r="F52" s="196" t="s">
        <v>70</v>
      </c>
      <c r="G52" s="195"/>
      <c r="H52" s="26"/>
      <c r="I52" s="26"/>
    </row>
    <row r="53" spans="2:9" ht="15" customHeight="1">
      <c r="B53" s="186"/>
      <c r="C53" s="186"/>
      <c r="F53" s="197" t="s">
        <v>71</v>
      </c>
      <c r="G53" s="187"/>
      <c r="H53" s="27"/>
      <c r="I53" s="27"/>
    </row>
    <row r="54" spans="2:9" ht="15" customHeight="1">
      <c r="B54" s="186"/>
      <c r="C54" s="186"/>
      <c r="F54" s="187" t="s">
        <v>43</v>
      </c>
      <c r="G54" s="187"/>
      <c r="H54" s="27"/>
      <c r="I54" s="27"/>
    </row>
    <row r="55" spans="1:9" s="19" customFormat="1" ht="15">
      <c r="A55"/>
      <c r="B55"/>
      <c r="C55"/>
      <c r="D55"/>
      <c r="E55"/>
      <c r="F55"/>
      <c r="G55"/>
      <c r="H55"/>
      <c r="I55"/>
    </row>
    <row r="57" spans="1:9" s="19" customFormat="1" ht="15">
      <c r="A57"/>
      <c r="B57"/>
      <c r="D57"/>
      <c r="E57"/>
      <c r="F57"/>
      <c r="G57"/>
      <c r="H57"/>
      <c r="I57"/>
    </row>
    <row r="58" spans="1:9" s="19" customFormat="1" ht="15">
      <c r="A58"/>
      <c r="B58"/>
      <c r="C58" s="4"/>
      <c r="D58"/>
      <c r="E58"/>
      <c r="F58"/>
      <c r="G58"/>
      <c r="H58"/>
      <c r="I58"/>
    </row>
  </sheetData>
  <sheetProtection/>
  <mergeCells count="25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B14:B17"/>
    <mergeCell ref="C14:C17"/>
    <mergeCell ref="G14:G17"/>
    <mergeCell ref="C39:C40"/>
    <mergeCell ref="F52:G52"/>
    <mergeCell ref="B54:C54"/>
    <mergeCell ref="F54:G54"/>
    <mergeCell ref="A39:A40"/>
    <mergeCell ref="B39:B40"/>
    <mergeCell ref="D39:D40"/>
    <mergeCell ref="E39:E40"/>
    <mergeCell ref="F39:F40"/>
    <mergeCell ref="G39:G40"/>
    <mergeCell ref="B53:C53"/>
    <mergeCell ref="F53:G53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G20" sqref="G20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105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s="97" customFormat="1" ht="15">
      <c r="A12" s="40" t="s">
        <v>68</v>
      </c>
      <c r="B12" s="8">
        <f>+G12*0.3</f>
        <v>42850781.699999996</v>
      </c>
      <c r="C12" s="8">
        <f>+G12*0.7</f>
        <v>99985157.3</v>
      </c>
      <c r="D12" s="8"/>
      <c r="E12" s="8"/>
      <c r="F12" s="8"/>
      <c r="G12" s="81">
        <v>142835939</v>
      </c>
      <c r="H12" s="82"/>
      <c r="I12" s="80"/>
    </row>
    <row r="13" spans="1:9" ht="15">
      <c r="A13" s="40" t="s">
        <v>16</v>
      </c>
      <c r="B13" s="8"/>
      <c r="C13" s="8">
        <f>59847712.49+85836272.03</f>
        <v>145683984.52</v>
      </c>
      <c r="D13" s="8"/>
      <c r="E13" s="8"/>
      <c r="F13" s="8"/>
      <c r="G13" s="81">
        <f>+C13</f>
        <v>145683984.52</v>
      </c>
      <c r="H13" s="82"/>
      <c r="I13" s="80"/>
    </row>
    <row r="14" spans="1:9" ht="15">
      <c r="A14" s="41" t="s">
        <v>17</v>
      </c>
      <c r="B14" s="189">
        <v>191235688.61</v>
      </c>
      <c r="C14" s="189"/>
      <c r="D14" s="10"/>
      <c r="E14" s="83"/>
      <c r="F14" s="83"/>
      <c r="G14" s="192">
        <f>+B14</f>
        <v>191235688.61</v>
      </c>
      <c r="H14" s="82"/>
      <c r="I14" s="80"/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20</v>
      </c>
      <c r="B17" s="191"/>
      <c r="C17" s="191"/>
      <c r="D17" s="84"/>
      <c r="E17" s="84"/>
      <c r="F17" s="84"/>
      <c r="G17" s="194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5">
      <c r="A20" s="39" t="s">
        <v>23</v>
      </c>
      <c r="B20" s="86">
        <f>SUM(B12:B19)</f>
        <v>234086470.31</v>
      </c>
      <c r="C20" s="86">
        <f>SUM(C12:C19)</f>
        <v>245669141.82</v>
      </c>
      <c r="D20" s="8"/>
      <c r="E20" s="8"/>
      <c r="F20" s="8"/>
      <c r="G20" s="81">
        <f>SUM(B20:F20)</f>
        <v>479755612.13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5">
      <c r="A23" s="40" t="s">
        <v>26</v>
      </c>
      <c r="B23" s="8"/>
      <c r="C23" s="8"/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f>84130+52465+71760+179880</f>
        <v>388235</v>
      </c>
      <c r="D27" s="8"/>
      <c r="E27" s="8"/>
      <c r="F27" s="8"/>
      <c r="G27" s="81"/>
      <c r="H27" s="82"/>
      <c r="I27" s="80"/>
    </row>
    <row r="28" spans="1:9" ht="15">
      <c r="A28" s="40" t="s">
        <v>110</v>
      </c>
      <c r="B28" s="8"/>
      <c r="C28" s="8">
        <v>9680</v>
      </c>
      <c r="D28" s="8"/>
      <c r="E28" s="8"/>
      <c r="F28" s="8"/>
      <c r="G28" s="81"/>
      <c r="H28" s="82"/>
      <c r="I28" s="80"/>
    </row>
    <row r="29" spans="1:9" ht="15">
      <c r="A29" s="40" t="s">
        <v>81</v>
      </c>
      <c r="B29" s="8"/>
      <c r="C29" s="8">
        <f>12549.54+4183.18+4183.18</f>
        <v>20915.9</v>
      </c>
      <c r="D29" s="8"/>
      <c r="E29" s="8"/>
      <c r="F29" s="8"/>
      <c r="G29" s="81"/>
      <c r="H29" s="82"/>
      <c r="I29" s="80"/>
    </row>
    <row r="30" spans="1:9" ht="15">
      <c r="A30" s="40" t="s">
        <v>89</v>
      </c>
      <c r="B30" s="8"/>
      <c r="C30" s="8"/>
      <c r="D30" s="8"/>
      <c r="E30" s="8"/>
      <c r="F30" s="8"/>
      <c r="G30" s="81"/>
      <c r="H30" s="82"/>
      <c r="I30" s="80"/>
    </row>
    <row r="31" spans="1:9" ht="15">
      <c r="A31" s="40" t="s">
        <v>90</v>
      </c>
      <c r="B31" s="8"/>
      <c r="C31" s="8"/>
      <c r="D31" s="8"/>
      <c r="E31" s="8"/>
      <c r="F31" s="8"/>
      <c r="G31" s="81"/>
      <c r="H31" s="82"/>
      <c r="I31" s="80"/>
    </row>
    <row r="32" spans="1:9" ht="15">
      <c r="A32" s="40" t="s">
        <v>91</v>
      </c>
      <c r="B32" s="8"/>
      <c r="C32" s="8"/>
      <c r="D32" s="8"/>
      <c r="E32" s="8"/>
      <c r="F32" s="8"/>
      <c r="G32" s="81"/>
      <c r="H32" s="82"/>
      <c r="I32" s="80"/>
    </row>
    <row r="33" spans="1:9" ht="15">
      <c r="A33" s="40" t="s">
        <v>107</v>
      </c>
      <c r="B33" s="8"/>
      <c r="C33" s="8">
        <v>410967.69</v>
      </c>
      <c r="D33" s="8"/>
      <c r="E33" s="8"/>
      <c r="F33" s="8"/>
      <c r="G33" s="81"/>
      <c r="H33" s="82"/>
      <c r="I33" s="80"/>
    </row>
    <row r="34" spans="1:9" ht="15" customHeight="1">
      <c r="A34" s="41" t="s">
        <v>102</v>
      </c>
      <c r="B34" s="8"/>
      <c r="C34" s="8">
        <v>445000</v>
      </c>
      <c r="D34" s="8"/>
      <c r="E34" s="8"/>
      <c r="F34" s="8"/>
      <c r="G34" s="81"/>
      <c r="H34" s="82"/>
      <c r="I34" s="80"/>
    </row>
    <row r="35" spans="1:9" ht="15" customHeight="1">
      <c r="A35" s="40" t="s">
        <v>92</v>
      </c>
      <c r="B35" s="8"/>
      <c r="C35" s="8"/>
      <c r="D35" s="8"/>
      <c r="E35" s="8"/>
      <c r="F35" s="8"/>
      <c r="G35" s="81"/>
      <c r="H35" s="82"/>
      <c r="I35" s="80"/>
    </row>
    <row r="36" spans="1:9" ht="15">
      <c r="A36" s="42" t="s">
        <v>31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32</v>
      </c>
      <c r="B37" s="8"/>
      <c r="C37" s="8"/>
      <c r="D37" s="8"/>
      <c r="E37" s="8"/>
      <c r="F37" s="8"/>
      <c r="G37" s="81"/>
      <c r="H37" s="82"/>
      <c r="I37" s="80"/>
    </row>
    <row r="38" spans="1:9" ht="15">
      <c r="A38" s="40" t="s">
        <v>97</v>
      </c>
      <c r="B38" s="8"/>
      <c r="C38" s="8">
        <v>990000</v>
      </c>
      <c r="D38" s="8"/>
      <c r="E38" s="8"/>
      <c r="F38" s="8"/>
      <c r="G38" s="81"/>
      <c r="H38" s="82"/>
      <c r="I38" s="80"/>
    </row>
    <row r="39" spans="1:9" ht="15">
      <c r="A39" s="40" t="s">
        <v>96</v>
      </c>
      <c r="B39" s="107"/>
      <c r="C39" s="107">
        <v>1993509</v>
      </c>
      <c r="D39" s="107"/>
      <c r="E39" s="107"/>
      <c r="F39" s="107"/>
      <c r="G39" s="108"/>
      <c r="H39" s="82"/>
      <c r="I39" s="80"/>
    </row>
    <row r="40" spans="1:9" ht="15">
      <c r="A40" s="216" t="s">
        <v>106</v>
      </c>
      <c r="B40" s="204"/>
      <c r="C40" s="189">
        <v>1177462.53</v>
      </c>
      <c r="D40" s="204"/>
      <c r="E40" s="204"/>
      <c r="F40" s="204"/>
      <c r="G40" s="206"/>
      <c r="H40" s="82"/>
      <c r="I40" s="80"/>
    </row>
    <row r="41" spans="1:9" ht="15">
      <c r="A41" s="217"/>
      <c r="B41" s="205"/>
      <c r="C41" s="191"/>
      <c r="D41" s="205"/>
      <c r="E41" s="205"/>
      <c r="F41" s="205"/>
      <c r="G41" s="207"/>
      <c r="H41" s="82"/>
      <c r="I41" s="80"/>
    </row>
    <row r="42" spans="1:9" ht="15">
      <c r="A42" s="109" t="s">
        <v>111</v>
      </c>
      <c r="B42" s="107"/>
      <c r="C42" s="106">
        <v>6732000</v>
      </c>
      <c r="D42" s="107"/>
      <c r="E42" s="107"/>
      <c r="F42" s="107"/>
      <c r="G42" s="108"/>
      <c r="H42" s="82"/>
      <c r="I42" s="80"/>
    </row>
    <row r="43" spans="1:9" ht="15">
      <c r="A43" s="40" t="s">
        <v>34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39" t="s">
        <v>35</v>
      </c>
      <c r="B44" s="86">
        <f>+SUM(B21:B43)</f>
        <v>0</v>
      </c>
      <c r="C44" s="86">
        <f>+SUM(C21:C43)</f>
        <v>12167770.120000001</v>
      </c>
      <c r="D44" s="8"/>
      <c r="E44" s="8"/>
      <c r="F44" s="8"/>
      <c r="G44" s="89"/>
      <c r="H44" s="82"/>
      <c r="I44" s="80"/>
    </row>
    <row r="45" spans="1:9" ht="15.75" thickBot="1">
      <c r="A45" s="44" t="s">
        <v>36</v>
      </c>
      <c r="B45" s="90">
        <f>+B20-B44</f>
        <v>234086470.31</v>
      </c>
      <c r="C45" s="90">
        <f>+C20-C44</f>
        <v>233501371.7</v>
      </c>
      <c r="D45" s="91"/>
      <c r="E45" s="91"/>
      <c r="F45" s="91"/>
      <c r="G45" s="92">
        <f>+G20</f>
        <v>479755612.13</v>
      </c>
      <c r="H45" s="82"/>
      <c r="I45" s="80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95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7" ht="15">
      <c r="C49" s="24" t="s">
        <v>38</v>
      </c>
      <c r="D49" s="24"/>
      <c r="E49" s="24"/>
      <c r="F49" s="24"/>
      <c r="G49" s="24"/>
    </row>
    <row r="50" ht="14.25" customHeight="1"/>
    <row r="51" ht="14.25" customHeight="1">
      <c r="C51" s="4"/>
    </row>
    <row r="52" ht="14.25" customHeight="1">
      <c r="C52" s="4"/>
    </row>
    <row r="53" spans="2:9" ht="15" customHeight="1">
      <c r="B53" s="22"/>
      <c r="C53" s="110"/>
      <c r="F53" s="196" t="s">
        <v>70</v>
      </c>
      <c r="G53" s="195"/>
      <c r="H53" s="26"/>
      <c r="I53" s="26"/>
    </row>
    <row r="54" spans="2:9" ht="15" customHeight="1">
      <c r="B54" s="186"/>
      <c r="C54" s="186"/>
      <c r="F54" s="197" t="s">
        <v>71</v>
      </c>
      <c r="G54" s="187"/>
      <c r="H54" s="27"/>
      <c r="I54" s="27"/>
    </row>
    <row r="55" spans="2:9" ht="15" customHeight="1">
      <c r="B55" s="186"/>
      <c r="C55" s="186"/>
      <c r="F55" s="187" t="s">
        <v>43</v>
      </c>
      <c r="G55" s="187"/>
      <c r="H55" s="27"/>
      <c r="I55" s="27"/>
    </row>
    <row r="56" spans="1:9" s="19" customFormat="1" ht="15">
      <c r="A56"/>
      <c r="B56"/>
      <c r="C56"/>
      <c r="D56"/>
      <c r="E56"/>
      <c r="F56"/>
      <c r="G56"/>
      <c r="H56"/>
      <c r="I56"/>
    </row>
    <row r="57" ht="15">
      <c r="C57" s="19"/>
    </row>
    <row r="58" spans="1:9" s="19" customFormat="1" ht="15">
      <c r="A58"/>
      <c r="B58"/>
      <c r="D58"/>
      <c r="E58"/>
      <c r="F58"/>
      <c r="G58"/>
      <c r="H58"/>
      <c r="I58"/>
    </row>
    <row r="59" spans="1:9" s="19" customFormat="1" ht="15">
      <c r="A59"/>
      <c r="B59"/>
      <c r="C59" s="4"/>
      <c r="D59"/>
      <c r="E59"/>
      <c r="F59"/>
      <c r="G59"/>
      <c r="H59"/>
      <c r="I59"/>
    </row>
  </sheetData>
  <sheetProtection/>
  <mergeCells count="25">
    <mergeCell ref="F53:G53"/>
    <mergeCell ref="B54:C54"/>
    <mergeCell ref="F54:G54"/>
    <mergeCell ref="B55:C55"/>
    <mergeCell ref="F55:G55"/>
    <mergeCell ref="B14:B17"/>
    <mergeCell ref="C14:C17"/>
    <mergeCell ref="G14:G17"/>
    <mergeCell ref="A40:A41"/>
    <mergeCell ref="B40:B41"/>
    <mergeCell ref="C40:C41"/>
    <mergeCell ref="D40:D41"/>
    <mergeCell ref="E40:E41"/>
    <mergeCell ref="F40:F41"/>
    <mergeCell ref="G40:G41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L27" sqref="L27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9.140625" style="19" customWidth="1"/>
    <col min="12" max="12" width="13.8515625" style="19" customWidth="1"/>
    <col min="13" max="16" width="9.140625" style="19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112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16" s="97" customFormat="1" ht="15">
      <c r="A12" s="40" t="s">
        <v>68</v>
      </c>
      <c r="B12" s="8">
        <f>+G12*0.3</f>
        <v>42850781.699999996</v>
      </c>
      <c r="C12" s="8">
        <f>+G12*0.7</f>
        <v>99985157.3</v>
      </c>
      <c r="D12" s="8"/>
      <c r="E12" s="8"/>
      <c r="F12" s="8"/>
      <c r="G12" s="81">
        <v>142835939</v>
      </c>
      <c r="H12" s="82"/>
      <c r="I12" s="80"/>
      <c r="K12" s="117"/>
      <c r="L12" s="117"/>
      <c r="M12" s="117"/>
      <c r="N12" s="117"/>
      <c r="O12" s="117"/>
      <c r="P12" s="117"/>
    </row>
    <row r="13" spans="1:9" ht="15">
      <c r="A13" s="40" t="s">
        <v>16</v>
      </c>
      <c r="B13" s="8"/>
      <c r="C13" s="8">
        <f>59847712.49+85836272.03</f>
        <v>145683984.52</v>
      </c>
      <c r="D13" s="8"/>
      <c r="E13" s="8"/>
      <c r="F13" s="8"/>
      <c r="G13" s="81">
        <f>+C13</f>
        <v>145683984.52</v>
      </c>
      <c r="H13" s="82"/>
      <c r="I13" s="80"/>
    </row>
    <row r="14" spans="1:9" ht="15">
      <c r="A14" s="41" t="s">
        <v>17</v>
      </c>
      <c r="B14" s="189">
        <v>191235688.61</v>
      </c>
      <c r="C14" s="189"/>
      <c r="D14" s="10"/>
      <c r="E14" s="83"/>
      <c r="F14" s="83"/>
      <c r="G14" s="192">
        <f>+B14</f>
        <v>191235688.61</v>
      </c>
      <c r="H14" s="82"/>
      <c r="I14" s="80"/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20</v>
      </c>
      <c r="B17" s="191"/>
      <c r="C17" s="191"/>
      <c r="D17" s="84"/>
      <c r="E17" s="84"/>
      <c r="F17" s="84"/>
      <c r="G17" s="194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16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  <c r="M19" s="17"/>
      <c r="N19" s="17"/>
      <c r="O19" s="17"/>
      <c r="P19" s="17"/>
    </row>
    <row r="20" spans="1:9" ht="15">
      <c r="A20" s="39" t="s">
        <v>23</v>
      </c>
      <c r="B20" s="86">
        <f>SUM(B12:B19)</f>
        <v>234086470.31</v>
      </c>
      <c r="C20" s="86">
        <f>SUM(C12:C19)</f>
        <v>245669141.82</v>
      </c>
      <c r="D20" s="8"/>
      <c r="E20" s="8"/>
      <c r="F20" s="8"/>
      <c r="G20" s="81">
        <f>SUM(B20:F20)</f>
        <v>479755612.13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11" ht="15">
      <c r="A23" s="40" t="s">
        <v>26</v>
      </c>
      <c r="B23" s="8"/>
      <c r="C23" s="8"/>
      <c r="D23" s="8"/>
      <c r="E23" s="8"/>
      <c r="F23" s="8"/>
      <c r="G23" s="81"/>
      <c r="H23" s="82"/>
      <c r="I23" s="80"/>
      <c r="K23" s="19" t="s">
        <v>115</v>
      </c>
    </row>
    <row r="24" spans="1:12" ht="15">
      <c r="A24" s="40" t="s">
        <v>27</v>
      </c>
      <c r="B24" s="8"/>
      <c r="C24" s="8"/>
      <c r="D24" s="8"/>
      <c r="E24" s="8"/>
      <c r="F24" s="8"/>
      <c r="G24" s="81"/>
      <c r="H24" s="82"/>
      <c r="I24" s="80"/>
      <c r="K24" s="118" t="s">
        <v>114</v>
      </c>
      <c r="L24" s="19">
        <v>2699170</v>
      </c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f>84130+52465+71760+179880+224700+134820</f>
        <v>747755</v>
      </c>
      <c r="D27" s="8"/>
      <c r="E27" s="8"/>
      <c r="F27" s="8"/>
      <c r="G27" s="81"/>
      <c r="H27" s="82"/>
      <c r="I27" s="80"/>
    </row>
    <row r="28" spans="1:9" ht="15">
      <c r="A28" s="40" t="s">
        <v>110</v>
      </c>
      <c r="B28" s="8"/>
      <c r="C28" s="8">
        <v>9680</v>
      </c>
      <c r="D28" s="8"/>
      <c r="E28" s="8"/>
      <c r="F28" s="8"/>
      <c r="G28" s="81"/>
      <c r="H28" s="82"/>
      <c r="I28" s="80"/>
    </row>
    <row r="29" spans="1:9" ht="15">
      <c r="A29" s="40" t="s">
        <v>81</v>
      </c>
      <c r="B29" s="8"/>
      <c r="C29" s="8">
        <f>12549.54+4183.18+4183.18</f>
        <v>20915.9</v>
      </c>
      <c r="D29" s="8"/>
      <c r="E29" s="8"/>
      <c r="F29" s="8"/>
      <c r="G29" s="81"/>
      <c r="H29" s="82"/>
      <c r="I29" s="80"/>
    </row>
    <row r="30" spans="1:11" ht="15">
      <c r="A30" s="40" t="s">
        <v>89</v>
      </c>
      <c r="B30" s="8"/>
      <c r="C30" s="8"/>
      <c r="D30" s="8"/>
      <c r="E30" s="8"/>
      <c r="F30" s="8"/>
      <c r="G30" s="81"/>
      <c r="H30" s="82"/>
      <c r="I30" s="80"/>
      <c r="K30" s="19" t="s">
        <v>113</v>
      </c>
    </row>
    <row r="31" spans="1:12" ht="15">
      <c r="A31" s="40" t="s">
        <v>90</v>
      </c>
      <c r="B31" s="8"/>
      <c r="C31" s="8"/>
      <c r="D31" s="8"/>
      <c r="E31" s="8"/>
      <c r="F31" s="8"/>
      <c r="G31" s="81"/>
      <c r="H31" s="82"/>
      <c r="I31" s="80"/>
      <c r="K31" s="118" t="s">
        <v>114</v>
      </c>
      <c r="L31" s="19">
        <f>4141.52+42853.8</f>
        <v>46995.32000000001</v>
      </c>
    </row>
    <row r="32" spans="1:9" ht="15">
      <c r="A32" s="40" t="s">
        <v>91</v>
      </c>
      <c r="B32" s="8"/>
      <c r="C32" s="8"/>
      <c r="D32" s="8"/>
      <c r="E32" s="8"/>
      <c r="F32" s="8"/>
      <c r="G32" s="81"/>
      <c r="H32" s="82"/>
      <c r="I32" s="80"/>
    </row>
    <row r="33" spans="1:9" ht="15">
      <c r="A33" s="40" t="s">
        <v>107</v>
      </c>
      <c r="B33" s="8"/>
      <c r="C33" s="8">
        <v>410967.69</v>
      </c>
      <c r="D33" s="8"/>
      <c r="E33" s="8"/>
      <c r="F33" s="8"/>
      <c r="G33" s="81"/>
      <c r="H33" s="82"/>
      <c r="I33" s="80"/>
    </row>
    <row r="34" spans="1:9" ht="15" customHeight="1">
      <c r="A34" s="41" t="s">
        <v>102</v>
      </c>
      <c r="B34" s="8"/>
      <c r="C34" s="8">
        <v>445000</v>
      </c>
      <c r="D34" s="8"/>
      <c r="E34" s="8"/>
      <c r="F34" s="8"/>
      <c r="G34" s="81"/>
      <c r="H34" s="82"/>
      <c r="I34" s="80"/>
    </row>
    <row r="35" spans="1:9" ht="15" customHeight="1">
      <c r="A35" s="40" t="s">
        <v>92</v>
      </c>
      <c r="B35" s="8"/>
      <c r="C35" s="8"/>
      <c r="D35" s="8"/>
      <c r="E35" s="8"/>
      <c r="F35" s="8"/>
      <c r="G35" s="81"/>
      <c r="H35" s="82"/>
      <c r="I35" s="80"/>
    </row>
    <row r="36" spans="1:9" ht="15">
      <c r="A36" s="42" t="s">
        <v>31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32</v>
      </c>
      <c r="B37" s="8"/>
      <c r="C37" s="8"/>
      <c r="D37" s="8"/>
      <c r="E37" s="8"/>
      <c r="F37" s="8"/>
      <c r="G37" s="81"/>
      <c r="H37" s="82"/>
      <c r="I37" s="80"/>
    </row>
    <row r="38" spans="1:9" ht="15">
      <c r="A38" s="40" t="s">
        <v>97</v>
      </c>
      <c r="B38" s="8"/>
      <c r="C38" s="8">
        <v>990000</v>
      </c>
      <c r="D38" s="8"/>
      <c r="E38" s="8"/>
      <c r="F38" s="8"/>
      <c r="G38" s="81"/>
      <c r="H38" s="82"/>
      <c r="I38" s="80"/>
    </row>
    <row r="39" spans="1:9" ht="15">
      <c r="A39" s="40" t="s">
        <v>96</v>
      </c>
      <c r="B39" s="107"/>
      <c r="C39" s="107">
        <v>1993509</v>
      </c>
      <c r="D39" s="107"/>
      <c r="E39" s="107"/>
      <c r="F39" s="107"/>
      <c r="G39" s="108"/>
      <c r="H39" s="82"/>
      <c r="I39" s="80"/>
    </row>
    <row r="40" spans="1:9" ht="15">
      <c r="A40" s="216" t="s">
        <v>106</v>
      </c>
      <c r="B40" s="204"/>
      <c r="C40" s="189">
        <v>1177462.53</v>
      </c>
      <c r="D40" s="204"/>
      <c r="E40" s="204"/>
      <c r="F40" s="204"/>
      <c r="G40" s="206"/>
      <c r="H40" s="82"/>
      <c r="I40" s="80"/>
    </row>
    <row r="41" spans="1:9" ht="15">
      <c r="A41" s="217"/>
      <c r="B41" s="205"/>
      <c r="C41" s="191"/>
      <c r="D41" s="205"/>
      <c r="E41" s="205"/>
      <c r="F41" s="205"/>
      <c r="G41" s="207"/>
      <c r="H41" s="82"/>
      <c r="I41" s="80"/>
    </row>
    <row r="42" spans="1:9" ht="15">
      <c r="A42" s="109" t="s">
        <v>111</v>
      </c>
      <c r="B42" s="107"/>
      <c r="C42" s="106">
        <v>6732000</v>
      </c>
      <c r="D42" s="107"/>
      <c r="E42" s="107"/>
      <c r="F42" s="107"/>
      <c r="G42" s="108"/>
      <c r="H42" s="82"/>
      <c r="I42" s="80"/>
    </row>
    <row r="43" spans="1:9" ht="15">
      <c r="A43" s="40" t="s">
        <v>34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39" t="s">
        <v>35</v>
      </c>
      <c r="B44" s="86">
        <f>+SUM(B21:B43)</f>
        <v>0</v>
      </c>
      <c r="C44" s="86">
        <f>+SUM(C21:C43)</f>
        <v>12527290.120000001</v>
      </c>
      <c r="D44" s="8"/>
      <c r="E44" s="8"/>
      <c r="F44" s="8"/>
      <c r="G44" s="89"/>
      <c r="H44" s="82"/>
      <c r="I44" s="80"/>
    </row>
    <row r="45" spans="1:9" ht="15.75" thickBot="1">
      <c r="A45" s="44" t="s">
        <v>36</v>
      </c>
      <c r="B45" s="90">
        <f>+B20-B44</f>
        <v>234086470.31</v>
      </c>
      <c r="C45" s="90">
        <f>+C20-C44</f>
        <v>233141851.7</v>
      </c>
      <c r="D45" s="91"/>
      <c r="E45" s="91"/>
      <c r="F45" s="91"/>
      <c r="G45" s="92">
        <f>+G20</f>
        <v>479755612.13</v>
      </c>
      <c r="H45" s="82"/>
      <c r="I45" s="80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95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7" ht="15">
      <c r="C49" s="24" t="s">
        <v>38</v>
      </c>
      <c r="D49" s="24"/>
      <c r="E49" s="24"/>
      <c r="F49" s="24"/>
      <c r="G49" s="24"/>
    </row>
    <row r="50" ht="14.25" customHeight="1"/>
    <row r="51" ht="14.25" customHeight="1">
      <c r="C51" s="4"/>
    </row>
    <row r="52" ht="14.25" customHeight="1">
      <c r="C52" s="4"/>
    </row>
    <row r="53" spans="2:9" ht="15" customHeight="1">
      <c r="B53" s="22"/>
      <c r="C53" s="110"/>
      <c r="F53" s="196" t="s">
        <v>70</v>
      </c>
      <c r="G53" s="195"/>
      <c r="H53" s="26"/>
      <c r="I53" s="26"/>
    </row>
    <row r="54" spans="2:9" ht="15" customHeight="1">
      <c r="B54" s="111"/>
      <c r="C54" s="111"/>
      <c r="F54" s="197" t="s">
        <v>71</v>
      </c>
      <c r="G54" s="187"/>
      <c r="H54" s="27"/>
      <c r="I54" s="27"/>
    </row>
    <row r="55" spans="2:9" ht="15" customHeight="1">
      <c r="B55" s="111"/>
      <c r="C55" s="112"/>
      <c r="F55" s="187" t="s">
        <v>43</v>
      </c>
      <c r="G55" s="187"/>
      <c r="H55" s="27"/>
      <c r="I55" s="27"/>
    </row>
    <row r="56" spans="1:9" s="19" customFormat="1" ht="15">
      <c r="A56"/>
      <c r="B56"/>
      <c r="C56"/>
      <c r="D56"/>
      <c r="E56"/>
      <c r="F56"/>
      <c r="G56"/>
      <c r="H56"/>
      <c r="I56"/>
    </row>
    <row r="57" ht="15">
      <c r="C57" s="19"/>
    </row>
    <row r="58" spans="1:9" s="19" customFormat="1" ht="15">
      <c r="A58"/>
      <c r="B58"/>
      <c r="D58"/>
      <c r="E58"/>
      <c r="F58"/>
      <c r="G58"/>
      <c r="H58"/>
      <c r="I58"/>
    </row>
    <row r="59" spans="1:9" s="19" customFormat="1" ht="15">
      <c r="A59"/>
      <c r="B59"/>
      <c r="C59" s="4"/>
      <c r="D59"/>
      <c r="E59"/>
      <c r="F59"/>
      <c r="G59"/>
      <c r="H59"/>
      <c r="I59"/>
    </row>
  </sheetData>
  <sheetProtection/>
  <mergeCells count="23">
    <mergeCell ref="F53:G53"/>
    <mergeCell ref="F54:G54"/>
    <mergeCell ref="F55:G55"/>
    <mergeCell ref="B14:B17"/>
    <mergeCell ref="C14:C17"/>
    <mergeCell ref="G14:G17"/>
    <mergeCell ref="F40:F41"/>
    <mergeCell ref="G40:G41"/>
    <mergeCell ref="A40:A41"/>
    <mergeCell ref="B40:B41"/>
    <mergeCell ref="C40:C41"/>
    <mergeCell ref="D40:D41"/>
    <mergeCell ref="E40:E41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75" t="s">
        <v>2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44</v>
      </c>
      <c r="B5" s="175"/>
      <c r="C5" s="175"/>
      <c r="D5" s="175"/>
      <c r="E5" s="175"/>
      <c r="F5" s="175"/>
      <c r="G5" s="175"/>
      <c r="H5" s="175"/>
      <c r="I5" s="175"/>
    </row>
    <row r="6" spans="1:9" ht="15">
      <c r="A6" s="175" t="s">
        <v>3</v>
      </c>
      <c r="B6" s="175"/>
      <c r="C6" s="175"/>
      <c r="D6" s="175"/>
      <c r="E6" s="175"/>
      <c r="F6" s="175"/>
      <c r="G6" s="175"/>
      <c r="H6" s="175"/>
      <c r="I6" s="175"/>
    </row>
    <row r="8" ht="9" customHeight="1" thickBot="1"/>
    <row r="9" spans="1:9" ht="21" customHeight="1">
      <c r="A9" s="176" t="s">
        <v>4</v>
      </c>
      <c r="B9" s="179" t="s">
        <v>5</v>
      </c>
      <c r="C9" s="180"/>
      <c r="D9" s="176" t="s">
        <v>6</v>
      </c>
      <c r="E9" s="176" t="s">
        <v>11</v>
      </c>
      <c r="F9" s="176" t="s">
        <v>40</v>
      </c>
      <c r="G9" s="181" t="s">
        <v>12</v>
      </c>
      <c r="H9" s="184" t="s">
        <v>7</v>
      </c>
      <c r="I9" s="1" t="s">
        <v>8</v>
      </c>
    </row>
    <row r="10" spans="1:9" ht="31.5" customHeight="1">
      <c r="A10" s="177"/>
      <c r="B10" s="51" t="s">
        <v>9</v>
      </c>
      <c r="C10" s="53" t="s">
        <v>10</v>
      </c>
      <c r="D10" s="177"/>
      <c r="E10" s="177"/>
      <c r="F10" s="177"/>
      <c r="G10" s="182"/>
      <c r="H10" s="185"/>
      <c r="I10" s="2"/>
    </row>
    <row r="11" spans="1:11" ht="20.25" customHeight="1" thickBot="1">
      <c r="A11" s="178"/>
      <c r="B11" s="52">
        <v>0.3</v>
      </c>
      <c r="C11" s="54">
        <v>0.7</v>
      </c>
      <c r="D11" s="178"/>
      <c r="E11" s="178"/>
      <c r="F11" s="178"/>
      <c r="G11" s="18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>SUM(B14:F14)</f>
        <v>49705954.53</v>
      </c>
      <c r="H14" s="9"/>
      <c r="I14" s="5"/>
      <c r="K14" s="188"/>
      <c r="L14" s="19">
        <f>+K13*0.3</f>
        <v>39603054.3</v>
      </c>
    </row>
    <row r="15" spans="1:11" ht="15">
      <c r="A15" s="34" t="s">
        <v>17</v>
      </c>
      <c r="B15" s="189">
        <f>220000000+22552281</f>
        <v>242552281</v>
      </c>
      <c r="C15" s="189"/>
      <c r="D15" s="10"/>
      <c r="E15" s="11"/>
      <c r="F15" s="11"/>
      <c r="G15" s="192">
        <f>SUM(B15:F15)</f>
        <v>242552281</v>
      </c>
      <c r="H15" s="9"/>
      <c r="I15" s="5"/>
      <c r="K15" s="188"/>
    </row>
    <row r="16" spans="1:11" ht="15">
      <c r="A16" s="34" t="s">
        <v>18</v>
      </c>
      <c r="B16" s="190"/>
      <c r="C16" s="190"/>
      <c r="D16" s="11"/>
      <c r="E16" s="11"/>
      <c r="F16" s="11"/>
      <c r="G16" s="193">
        <f>SUM(B16:F16)</f>
        <v>0</v>
      </c>
      <c r="H16" s="9"/>
      <c r="I16" s="5"/>
      <c r="K16" s="188"/>
    </row>
    <row r="17" spans="1:11" ht="15">
      <c r="A17" s="34" t="s">
        <v>19</v>
      </c>
      <c r="B17" s="190"/>
      <c r="C17" s="190"/>
      <c r="D17" s="11"/>
      <c r="E17" s="11"/>
      <c r="F17" s="11"/>
      <c r="G17" s="193">
        <f>SUM(B17:F17)</f>
        <v>0</v>
      </c>
      <c r="H17" s="9"/>
      <c r="I17" s="5"/>
      <c r="K17" s="55"/>
    </row>
    <row r="18" spans="1:11" ht="15">
      <c r="A18" s="35" t="s">
        <v>20</v>
      </c>
      <c r="B18" s="191"/>
      <c r="C18" s="191"/>
      <c r="D18" s="13"/>
      <c r="E18" s="13"/>
      <c r="F18" s="13"/>
      <c r="G18" s="194">
        <f>SUM(B18:F18)</f>
        <v>0</v>
      </c>
      <c r="H18" s="9"/>
      <c r="I18" s="5"/>
      <c r="K18" s="5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95" t="s">
        <v>41</v>
      </c>
      <c r="G44" s="195"/>
      <c r="H44" s="26"/>
      <c r="I44" s="26"/>
      <c r="J44" s="26"/>
      <c r="K44" s="4"/>
    </row>
    <row r="45" spans="2:11" ht="15" customHeight="1">
      <c r="B45" s="186"/>
      <c r="C45" s="186"/>
      <c r="F45" s="187" t="s">
        <v>42</v>
      </c>
      <c r="G45" s="187"/>
      <c r="H45" s="27"/>
      <c r="I45" s="27"/>
      <c r="J45" s="27"/>
      <c r="K45" s="19"/>
    </row>
    <row r="46" spans="2:11" ht="15" customHeight="1">
      <c r="B46" s="186"/>
      <c r="C46" s="186"/>
      <c r="F46" s="187" t="s">
        <v>43</v>
      </c>
      <c r="G46" s="187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90" zoomScaleNormal="90" zoomScalePageLayoutView="0" workbookViewId="0" topLeftCell="A1">
      <pane ySplit="10" topLeftCell="A17" activePane="bottomLeft" state="frozen"/>
      <selection pane="topLeft" activeCell="A1" sqref="A1"/>
      <selection pane="bottomLeft" activeCell="C32" sqref="C32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105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s="97" customFormat="1" ht="15">
      <c r="A12" s="40" t="s">
        <v>68</v>
      </c>
      <c r="B12" s="8">
        <f>+G12*0.3</f>
        <v>42850781.699999996</v>
      </c>
      <c r="C12" s="8">
        <f>+G12*0.7</f>
        <v>99985157.3</v>
      </c>
      <c r="D12" s="8"/>
      <c r="E12" s="8"/>
      <c r="F12" s="8"/>
      <c r="G12" s="81">
        <v>142835939</v>
      </c>
      <c r="H12" s="82"/>
      <c r="I12" s="80"/>
    </row>
    <row r="13" spans="1:9" ht="15">
      <c r="A13" s="40" t="s">
        <v>16</v>
      </c>
      <c r="B13" s="8"/>
      <c r="C13" s="8">
        <f>59847712.49+85836272.03</f>
        <v>145683984.52</v>
      </c>
      <c r="D13" s="8"/>
      <c r="E13" s="8"/>
      <c r="F13" s="8"/>
      <c r="G13" s="81">
        <f>+C13</f>
        <v>145683984.52</v>
      </c>
      <c r="H13" s="82"/>
      <c r="I13" s="80"/>
    </row>
    <row r="14" spans="1:9" ht="15">
      <c r="A14" s="41" t="s">
        <v>17</v>
      </c>
      <c r="B14" s="189">
        <v>191235688.61</v>
      </c>
      <c r="C14" s="189"/>
      <c r="D14" s="10"/>
      <c r="E14" s="83"/>
      <c r="F14" s="83"/>
      <c r="G14" s="192">
        <f>+B14</f>
        <v>191235688.61</v>
      </c>
      <c r="H14" s="82"/>
      <c r="I14" s="80"/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20</v>
      </c>
      <c r="B17" s="191"/>
      <c r="C17" s="191"/>
      <c r="D17" s="84"/>
      <c r="E17" s="84"/>
      <c r="F17" s="84"/>
      <c r="G17" s="194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5">
      <c r="A20" s="39" t="s">
        <v>23</v>
      </c>
      <c r="B20" s="86">
        <f>SUM(B12:B19)</f>
        <v>234086470.31</v>
      </c>
      <c r="C20" s="86">
        <f>SUM(C12:C19)</f>
        <v>245669141.82</v>
      </c>
      <c r="D20" s="8"/>
      <c r="E20" s="8"/>
      <c r="F20" s="8"/>
      <c r="G20" s="81">
        <f>SUM(B20:F20)</f>
        <v>479755612.13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5">
      <c r="A23" s="40" t="s">
        <v>26</v>
      </c>
      <c r="B23" s="8"/>
      <c r="C23" s="8"/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/>
      <c r="D27" s="8"/>
      <c r="E27" s="8"/>
      <c r="F27" s="8"/>
      <c r="G27" s="81"/>
      <c r="H27" s="82"/>
      <c r="I27" s="80"/>
    </row>
    <row r="28" spans="1:9" ht="15">
      <c r="A28" s="40" t="s">
        <v>81</v>
      </c>
      <c r="B28" s="8"/>
      <c r="C28" s="8">
        <f>4183.18</f>
        <v>4183.18</v>
      </c>
      <c r="D28" s="8"/>
      <c r="E28" s="8"/>
      <c r="F28" s="8"/>
      <c r="G28" s="81"/>
      <c r="H28" s="82"/>
      <c r="I28" s="80"/>
    </row>
    <row r="29" spans="1:9" ht="15">
      <c r="A29" s="40" t="s">
        <v>89</v>
      </c>
      <c r="B29" s="8"/>
      <c r="C29" s="8"/>
      <c r="D29" s="8"/>
      <c r="E29" s="8"/>
      <c r="F29" s="8"/>
      <c r="G29" s="81"/>
      <c r="H29" s="82"/>
      <c r="I29" s="80"/>
    </row>
    <row r="30" spans="1:9" ht="15">
      <c r="A30" s="40" t="s">
        <v>90</v>
      </c>
      <c r="B30" s="8"/>
      <c r="C30" s="8"/>
      <c r="D30" s="8"/>
      <c r="E30" s="8"/>
      <c r="F30" s="8"/>
      <c r="G30" s="81"/>
      <c r="H30" s="82"/>
      <c r="I30" s="80"/>
    </row>
    <row r="31" spans="1:9" ht="15">
      <c r="A31" s="40" t="s">
        <v>91</v>
      </c>
      <c r="B31" s="8"/>
      <c r="C31" s="8"/>
      <c r="D31" s="8"/>
      <c r="E31" s="8"/>
      <c r="F31" s="8"/>
      <c r="G31" s="81"/>
      <c r="H31" s="82"/>
      <c r="I31" s="80"/>
    </row>
    <row r="32" spans="1:9" ht="15" customHeight="1">
      <c r="A32" s="41" t="s">
        <v>102</v>
      </c>
      <c r="B32" s="8"/>
      <c r="C32" s="8">
        <v>445000</v>
      </c>
      <c r="D32" s="8"/>
      <c r="E32" s="8"/>
      <c r="F32" s="8"/>
      <c r="G32" s="81"/>
      <c r="H32" s="82"/>
      <c r="I32" s="80"/>
    </row>
    <row r="33" spans="1:9" ht="15" customHeight="1">
      <c r="A33" s="40" t="s">
        <v>92</v>
      </c>
      <c r="B33" s="8"/>
      <c r="C33" s="8"/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32</v>
      </c>
      <c r="B35" s="8"/>
      <c r="C35" s="8"/>
      <c r="D35" s="8"/>
      <c r="E35" s="8"/>
      <c r="F35" s="8"/>
      <c r="G35" s="81"/>
      <c r="H35" s="82"/>
      <c r="I35" s="80"/>
    </row>
    <row r="36" spans="1:9" ht="15">
      <c r="A36" s="40" t="s">
        <v>97</v>
      </c>
      <c r="B36" s="8"/>
      <c r="C36" s="8">
        <v>990000</v>
      </c>
      <c r="D36" s="8"/>
      <c r="E36" s="8"/>
      <c r="F36" s="8"/>
      <c r="G36" s="81"/>
      <c r="H36" s="82"/>
      <c r="I36" s="80"/>
    </row>
    <row r="37" spans="1:9" ht="15">
      <c r="A37" s="40" t="s">
        <v>96</v>
      </c>
      <c r="B37" s="107"/>
      <c r="C37" s="107">
        <v>1993509</v>
      </c>
      <c r="D37" s="107"/>
      <c r="E37" s="107"/>
      <c r="F37" s="107"/>
      <c r="G37" s="108"/>
      <c r="H37" s="82"/>
      <c r="I37" s="80"/>
    </row>
    <row r="38" spans="1:9" ht="15">
      <c r="A38" s="216" t="s">
        <v>106</v>
      </c>
      <c r="B38" s="204"/>
      <c r="C38" s="189">
        <v>1177462.53</v>
      </c>
      <c r="D38" s="204"/>
      <c r="E38" s="204"/>
      <c r="F38" s="204"/>
      <c r="G38" s="206"/>
      <c r="H38" s="82"/>
      <c r="I38" s="80"/>
    </row>
    <row r="39" spans="1:9" ht="15">
      <c r="A39" s="217"/>
      <c r="B39" s="205"/>
      <c r="C39" s="191"/>
      <c r="D39" s="205"/>
      <c r="E39" s="205"/>
      <c r="F39" s="205"/>
      <c r="G39" s="207"/>
      <c r="H39" s="82"/>
      <c r="I39" s="80"/>
    </row>
    <row r="40" spans="1:9" ht="15">
      <c r="A40" s="40" t="s">
        <v>33</v>
      </c>
      <c r="B40" s="8"/>
      <c r="C40" s="8"/>
      <c r="D40" s="8"/>
      <c r="E40" s="8"/>
      <c r="F40" s="8"/>
      <c r="G40" s="81"/>
      <c r="H40" s="82"/>
      <c r="I40" s="80"/>
    </row>
    <row r="41" spans="1:9" ht="15">
      <c r="A41" s="40" t="s">
        <v>34</v>
      </c>
      <c r="B41" s="8"/>
      <c r="C41" s="8"/>
      <c r="D41" s="8"/>
      <c r="E41" s="8"/>
      <c r="F41" s="8"/>
      <c r="G41" s="81"/>
      <c r="H41" s="82"/>
      <c r="I41" s="80"/>
    </row>
    <row r="42" spans="1:9" ht="15">
      <c r="A42" s="39" t="s">
        <v>35</v>
      </c>
      <c r="B42" s="86">
        <f>+SUM(B21:B41)</f>
        <v>0</v>
      </c>
      <c r="C42" s="86">
        <f>+SUM(C21:C41)</f>
        <v>4610154.71</v>
      </c>
      <c r="D42" s="8"/>
      <c r="E42" s="8"/>
      <c r="F42" s="8"/>
      <c r="G42" s="89"/>
      <c r="H42" s="82"/>
      <c r="I42" s="80"/>
    </row>
    <row r="43" spans="1:9" ht="15.75" thickBot="1">
      <c r="A43" s="44" t="s">
        <v>36</v>
      </c>
      <c r="B43" s="90">
        <f>+B20-B42</f>
        <v>234086470.31</v>
      </c>
      <c r="C43" s="90">
        <f>+C20-C42</f>
        <v>241058987.10999998</v>
      </c>
      <c r="D43" s="91"/>
      <c r="E43" s="91"/>
      <c r="F43" s="91"/>
      <c r="G43" s="92">
        <f>+G20</f>
        <v>479755612.13</v>
      </c>
      <c r="H43" s="82"/>
      <c r="I43" s="80"/>
    </row>
    <row r="44" spans="1:9" ht="15">
      <c r="A44" s="20"/>
      <c r="B44" s="21"/>
      <c r="C44" s="21"/>
      <c r="D44" s="7"/>
      <c r="E44" s="7"/>
      <c r="F44" s="7"/>
      <c r="G44" s="21"/>
      <c r="H44" s="7"/>
      <c r="I44" s="22"/>
    </row>
    <row r="45" spans="1:9" ht="15">
      <c r="A45" s="23" t="s">
        <v>95</v>
      </c>
      <c r="B45" s="21"/>
      <c r="C45" s="21"/>
      <c r="D45" s="7"/>
      <c r="E45" s="7"/>
      <c r="F45" s="7"/>
      <c r="G45" s="21"/>
      <c r="H45" s="7"/>
      <c r="I45" s="22"/>
    </row>
    <row r="46" spans="3:7" ht="15">
      <c r="C46" s="24" t="s">
        <v>37</v>
      </c>
      <c r="D46" s="24"/>
      <c r="E46" s="24"/>
      <c r="F46" s="24"/>
      <c r="G46" s="24"/>
    </row>
    <row r="47" spans="3:7" ht="15">
      <c r="C47" s="24" t="s">
        <v>38</v>
      </c>
      <c r="D47" s="24"/>
      <c r="E47" s="24"/>
      <c r="F47" s="24"/>
      <c r="G47" s="24"/>
    </row>
    <row r="48" ht="14.25" customHeight="1"/>
    <row r="49" ht="14.25" customHeight="1"/>
    <row r="50" ht="14.25" customHeight="1"/>
    <row r="51" spans="2:9" ht="15" customHeight="1">
      <c r="B51" s="22"/>
      <c r="C51" s="22"/>
      <c r="F51" s="196" t="s">
        <v>70</v>
      </c>
      <c r="G51" s="195"/>
      <c r="H51" s="26"/>
      <c r="I51" s="26"/>
    </row>
    <row r="52" spans="2:9" ht="15" customHeight="1">
      <c r="B52" s="186"/>
      <c r="C52" s="186"/>
      <c r="F52" s="197" t="s">
        <v>71</v>
      </c>
      <c r="G52" s="187"/>
      <c r="H52" s="27"/>
      <c r="I52" s="27"/>
    </row>
    <row r="53" spans="2:9" ht="15" customHeight="1">
      <c r="B53" s="186"/>
      <c r="C53" s="186"/>
      <c r="F53" s="187" t="s">
        <v>43</v>
      </c>
      <c r="G53" s="187"/>
      <c r="H53" s="27"/>
      <c r="I53" s="27"/>
    </row>
    <row r="54" spans="1:9" s="19" customFormat="1" ht="15">
      <c r="A54"/>
      <c r="B54"/>
      <c r="C54"/>
      <c r="D54"/>
      <c r="E54"/>
      <c r="F54"/>
      <c r="G54"/>
      <c r="H54"/>
      <c r="I54"/>
    </row>
    <row r="56" spans="1:9" s="19" customFormat="1" ht="15">
      <c r="A56"/>
      <c r="B56"/>
      <c r="D56"/>
      <c r="E56"/>
      <c r="F56"/>
      <c r="G56"/>
      <c r="H56"/>
      <c r="I56"/>
    </row>
    <row r="57" spans="1:9" s="19" customFormat="1" ht="15">
      <c r="A57"/>
      <c r="B57"/>
      <c r="C57" s="4"/>
      <c r="D57"/>
      <c r="E57"/>
      <c r="F57"/>
      <c r="G57"/>
      <c r="H57"/>
      <c r="I57"/>
    </row>
  </sheetData>
  <sheetProtection/>
  <mergeCells count="25">
    <mergeCell ref="F51:G51"/>
    <mergeCell ref="B52:C52"/>
    <mergeCell ref="F52:G52"/>
    <mergeCell ref="B53:C53"/>
    <mergeCell ref="F53:G53"/>
    <mergeCell ref="B14:B17"/>
    <mergeCell ref="C14:C17"/>
    <mergeCell ref="G14:G17"/>
    <mergeCell ref="A38:A39"/>
    <mergeCell ref="B38:B39"/>
    <mergeCell ref="C38:C39"/>
    <mergeCell ref="D38:D39"/>
    <mergeCell ref="E38:E39"/>
    <mergeCell ref="F38:F39"/>
    <mergeCell ref="G38:G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90" zoomScaleNormal="90" zoomScalePageLayoutView="0" workbookViewId="0" topLeftCell="A1">
      <pane ySplit="10" topLeftCell="A35" activePane="bottomLeft" state="frozen"/>
      <selection pane="topLeft" activeCell="A1" sqref="A1"/>
      <selection pane="bottomLeft" activeCell="B21" sqref="B21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9.140625" style="19" customWidth="1"/>
    <col min="12" max="12" width="13.8515625" style="19" customWidth="1"/>
    <col min="13" max="16" width="9.140625" style="19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116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16" s="97" customFormat="1" ht="15">
      <c r="A12" s="40" t="s">
        <v>68</v>
      </c>
      <c r="B12" s="8">
        <f>+G12*0.3</f>
        <v>42850781.699999996</v>
      </c>
      <c r="C12" s="8">
        <f>+G12*0.7</f>
        <v>99985157.3</v>
      </c>
      <c r="D12" s="8"/>
      <c r="E12" s="8"/>
      <c r="F12" s="8"/>
      <c r="G12" s="81">
        <v>142835939</v>
      </c>
      <c r="H12" s="82"/>
      <c r="I12" s="80"/>
      <c r="K12" s="117"/>
      <c r="L12" s="117"/>
      <c r="M12" s="117"/>
      <c r="N12" s="117"/>
      <c r="O12" s="117"/>
      <c r="P12" s="117"/>
    </row>
    <row r="13" spans="1:9" ht="15">
      <c r="A13" s="40" t="s">
        <v>16</v>
      </c>
      <c r="B13" s="8"/>
      <c r="C13" s="8">
        <f>59847712.49+85836272.03</f>
        <v>145683984.52</v>
      </c>
      <c r="D13" s="8"/>
      <c r="E13" s="8"/>
      <c r="F13" s="8"/>
      <c r="G13" s="81">
        <f>+C13</f>
        <v>145683984.52</v>
      </c>
      <c r="H13" s="82"/>
      <c r="I13" s="80"/>
    </row>
    <row r="14" spans="1:9" ht="15">
      <c r="A14" s="41" t="s">
        <v>17</v>
      </c>
      <c r="B14" s="189">
        <v>191235688.61</v>
      </c>
      <c r="C14" s="189"/>
      <c r="D14" s="10"/>
      <c r="E14" s="83"/>
      <c r="F14" s="83"/>
      <c r="G14" s="192">
        <f>+B14</f>
        <v>191235688.61</v>
      </c>
      <c r="H14" s="82"/>
      <c r="I14" s="80"/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20</v>
      </c>
      <c r="B17" s="191"/>
      <c r="C17" s="191"/>
      <c r="D17" s="84"/>
      <c r="E17" s="84"/>
      <c r="F17" s="84"/>
      <c r="G17" s="194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16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  <c r="M19" s="17"/>
      <c r="N19" s="17"/>
      <c r="O19" s="17"/>
      <c r="P19" s="17"/>
    </row>
    <row r="20" spans="1:11" ht="15">
      <c r="A20" s="39" t="s">
        <v>23</v>
      </c>
      <c r="B20" s="86">
        <f>SUM(B12:B19)</f>
        <v>234086470.31</v>
      </c>
      <c r="C20" s="86">
        <f>SUM(C12:C19)</f>
        <v>245669141.82</v>
      </c>
      <c r="D20" s="8"/>
      <c r="E20" s="8"/>
      <c r="F20" s="8"/>
      <c r="G20" s="81">
        <f>SUM(B20:F20)</f>
        <v>479755612.13</v>
      </c>
      <c r="H20" s="82"/>
      <c r="I20" s="80"/>
      <c r="K20" s="19" t="s">
        <v>118</v>
      </c>
    </row>
    <row r="21" spans="1:12" ht="15">
      <c r="A21" s="39" t="s">
        <v>24</v>
      </c>
      <c r="B21" s="8"/>
      <c r="C21" s="8"/>
      <c r="D21" s="8"/>
      <c r="E21" s="8"/>
      <c r="F21" s="8"/>
      <c r="G21" s="81"/>
      <c r="H21" s="82"/>
      <c r="I21" s="80"/>
      <c r="K21" s="118" t="s">
        <v>117</v>
      </c>
      <c r="L21" s="19">
        <v>894650</v>
      </c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11" ht="15">
      <c r="A23" s="40" t="s">
        <v>26</v>
      </c>
      <c r="B23" s="8"/>
      <c r="C23" s="8"/>
      <c r="D23" s="8"/>
      <c r="E23" s="8"/>
      <c r="F23" s="8"/>
      <c r="G23" s="81"/>
      <c r="H23" s="82"/>
      <c r="I23" s="80"/>
      <c r="K23" s="19" t="s">
        <v>115</v>
      </c>
    </row>
    <row r="24" spans="1:12" ht="15">
      <c r="A24" s="40" t="s">
        <v>27</v>
      </c>
      <c r="B24" s="8"/>
      <c r="C24" s="8"/>
      <c r="D24" s="8"/>
      <c r="E24" s="8"/>
      <c r="F24" s="8"/>
      <c r="G24" s="81"/>
      <c r="H24" s="82"/>
      <c r="I24" s="80"/>
      <c r="K24" s="118" t="s">
        <v>114</v>
      </c>
      <c r="L24" s="19">
        <v>2699170</v>
      </c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f>84130+52465+71760+179880+224700+134820+50420+7360</f>
        <v>805535</v>
      </c>
      <c r="D27" s="8"/>
      <c r="E27" s="8"/>
      <c r="F27" s="8"/>
      <c r="G27" s="81"/>
      <c r="H27" s="82"/>
      <c r="I27" s="80"/>
    </row>
    <row r="28" spans="1:9" ht="15">
      <c r="A28" s="40" t="s">
        <v>110</v>
      </c>
      <c r="B28" s="8"/>
      <c r="C28" s="8">
        <v>9680</v>
      </c>
      <c r="D28" s="8"/>
      <c r="E28" s="8"/>
      <c r="F28" s="8"/>
      <c r="G28" s="81"/>
      <c r="H28" s="82"/>
      <c r="I28" s="80"/>
    </row>
    <row r="29" spans="1:9" ht="15">
      <c r="A29" s="40" t="s">
        <v>81</v>
      </c>
      <c r="B29" s="8"/>
      <c r="C29" s="8">
        <f>12549.54+4183.18+4183.18+4221.37</f>
        <v>25137.27</v>
      </c>
      <c r="D29" s="8"/>
      <c r="E29" s="8"/>
      <c r="F29" s="8"/>
      <c r="G29" s="81"/>
      <c r="H29" s="82"/>
      <c r="I29" s="80"/>
    </row>
    <row r="30" spans="1:11" ht="15">
      <c r="A30" s="40" t="s">
        <v>89</v>
      </c>
      <c r="B30" s="8"/>
      <c r="C30" s="8"/>
      <c r="D30" s="8"/>
      <c r="E30" s="8"/>
      <c r="F30" s="8"/>
      <c r="G30" s="81"/>
      <c r="H30" s="82"/>
      <c r="I30" s="80"/>
      <c r="K30" s="19" t="s">
        <v>113</v>
      </c>
    </row>
    <row r="31" spans="1:12" ht="15">
      <c r="A31" s="40" t="s">
        <v>90</v>
      </c>
      <c r="B31" s="8"/>
      <c r="C31" s="8"/>
      <c r="D31" s="8"/>
      <c r="E31" s="8"/>
      <c r="F31" s="8"/>
      <c r="G31" s="81"/>
      <c r="H31" s="82"/>
      <c r="I31" s="80"/>
      <c r="K31" s="118" t="s">
        <v>114</v>
      </c>
      <c r="L31" s="19">
        <f>4141.52+42853.8</f>
        <v>46995.32000000001</v>
      </c>
    </row>
    <row r="32" spans="1:9" ht="15">
      <c r="A32" s="40" t="s">
        <v>91</v>
      </c>
      <c r="B32" s="8"/>
      <c r="C32" s="8"/>
      <c r="D32" s="8"/>
      <c r="E32" s="8"/>
      <c r="F32" s="8"/>
      <c r="G32" s="81"/>
      <c r="H32" s="82"/>
      <c r="I32" s="80"/>
    </row>
    <row r="33" spans="1:9" ht="15">
      <c r="A33" s="40" t="s">
        <v>107</v>
      </c>
      <c r="B33" s="8"/>
      <c r="C33" s="8">
        <v>410967.69</v>
      </c>
      <c r="D33" s="8"/>
      <c r="E33" s="8"/>
      <c r="F33" s="8"/>
      <c r="G33" s="81"/>
      <c r="H33" s="82"/>
      <c r="I33" s="80"/>
    </row>
    <row r="34" spans="1:9" ht="15" customHeight="1">
      <c r="A34" s="41" t="s">
        <v>102</v>
      </c>
      <c r="B34" s="8"/>
      <c r="C34" s="8">
        <v>445000</v>
      </c>
      <c r="D34" s="8"/>
      <c r="E34" s="8"/>
      <c r="F34" s="8"/>
      <c r="G34" s="81"/>
      <c r="H34" s="82"/>
      <c r="I34" s="80"/>
    </row>
    <row r="35" spans="1:9" ht="15" customHeight="1">
      <c r="A35" s="40" t="s">
        <v>92</v>
      </c>
      <c r="B35" s="8"/>
      <c r="C35" s="8"/>
      <c r="D35" s="8"/>
      <c r="E35" s="8"/>
      <c r="F35" s="8"/>
      <c r="G35" s="81"/>
      <c r="H35" s="82"/>
      <c r="I35" s="80"/>
    </row>
    <row r="36" spans="1:9" ht="15">
      <c r="A36" s="42" t="s">
        <v>31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32</v>
      </c>
      <c r="B37" s="8"/>
      <c r="C37" s="8"/>
      <c r="D37" s="8"/>
      <c r="E37" s="8"/>
      <c r="F37" s="8"/>
      <c r="G37" s="81"/>
      <c r="H37" s="82"/>
      <c r="I37" s="80"/>
    </row>
    <row r="38" spans="1:9" ht="15">
      <c r="A38" s="40" t="s">
        <v>97</v>
      </c>
      <c r="B38" s="8"/>
      <c r="C38" s="8">
        <v>990000</v>
      </c>
      <c r="D38" s="8"/>
      <c r="E38" s="8"/>
      <c r="F38" s="8"/>
      <c r="G38" s="81"/>
      <c r="H38" s="82"/>
      <c r="I38" s="80"/>
    </row>
    <row r="39" spans="1:9" ht="15">
      <c r="A39" s="40" t="s">
        <v>96</v>
      </c>
      <c r="B39" s="114"/>
      <c r="C39" s="114">
        <v>1993509</v>
      </c>
      <c r="D39" s="114"/>
      <c r="E39" s="114"/>
      <c r="F39" s="114"/>
      <c r="G39" s="115"/>
      <c r="H39" s="82"/>
      <c r="I39" s="80"/>
    </row>
    <row r="40" spans="1:9" ht="15">
      <c r="A40" s="216" t="s">
        <v>106</v>
      </c>
      <c r="B40" s="204"/>
      <c r="C40" s="189">
        <v>1177462.53</v>
      </c>
      <c r="D40" s="204"/>
      <c r="E40" s="204"/>
      <c r="F40" s="204"/>
      <c r="G40" s="206"/>
      <c r="H40" s="82"/>
      <c r="I40" s="80"/>
    </row>
    <row r="41" spans="1:9" ht="15">
      <c r="A41" s="217"/>
      <c r="B41" s="205"/>
      <c r="C41" s="191"/>
      <c r="D41" s="205"/>
      <c r="E41" s="205"/>
      <c r="F41" s="205"/>
      <c r="G41" s="207"/>
      <c r="H41" s="82"/>
      <c r="I41" s="80"/>
    </row>
    <row r="42" spans="1:9" ht="15">
      <c r="A42" s="116" t="s">
        <v>111</v>
      </c>
      <c r="B42" s="114"/>
      <c r="C42" s="113">
        <v>6732000</v>
      </c>
      <c r="D42" s="114"/>
      <c r="E42" s="114"/>
      <c r="F42" s="114"/>
      <c r="G42" s="115"/>
      <c r="H42" s="82"/>
      <c r="I42" s="80"/>
    </row>
    <row r="43" spans="1:9" ht="15">
      <c r="A43" s="40" t="s">
        <v>34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39" t="s">
        <v>35</v>
      </c>
      <c r="B44" s="86">
        <f>+SUM(B21:B43)</f>
        <v>0</v>
      </c>
      <c r="C44" s="86">
        <f>+SUM(C21:C43)</f>
        <v>12589291.49</v>
      </c>
      <c r="D44" s="8"/>
      <c r="E44" s="8"/>
      <c r="F44" s="8"/>
      <c r="G44" s="89"/>
      <c r="H44" s="82"/>
      <c r="I44" s="80"/>
    </row>
    <row r="45" spans="1:9" ht="15.75" thickBot="1">
      <c r="A45" s="44" t="s">
        <v>36</v>
      </c>
      <c r="B45" s="90">
        <f>+B20-B44</f>
        <v>234086470.31</v>
      </c>
      <c r="C45" s="90">
        <f>+C20-C44</f>
        <v>233079850.32999998</v>
      </c>
      <c r="D45" s="91"/>
      <c r="E45" s="91"/>
      <c r="F45" s="91"/>
      <c r="G45" s="92">
        <f>+G20</f>
        <v>479755612.13</v>
      </c>
      <c r="H45" s="82"/>
      <c r="I45" s="80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95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7" ht="15">
      <c r="C49" s="24" t="s">
        <v>38</v>
      </c>
      <c r="D49" s="24"/>
      <c r="E49" s="24"/>
      <c r="F49" s="24"/>
      <c r="G49" s="24"/>
    </row>
    <row r="50" ht="14.25" customHeight="1"/>
    <row r="51" ht="14.25" customHeight="1">
      <c r="C51" s="4"/>
    </row>
    <row r="52" ht="14.25" customHeight="1">
      <c r="C52" s="4"/>
    </row>
    <row r="53" spans="2:9" ht="15" customHeight="1">
      <c r="B53" s="22"/>
      <c r="C53" s="110"/>
      <c r="F53" s="196" t="s">
        <v>70</v>
      </c>
      <c r="G53" s="195"/>
      <c r="H53" s="26"/>
      <c r="I53" s="26"/>
    </row>
    <row r="54" spans="2:9" ht="15" customHeight="1">
      <c r="B54" s="111"/>
      <c r="C54" s="111"/>
      <c r="F54" s="197" t="s">
        <v>71</v>
      </c>
      <c r="G54" s="187"/>
      <c r="H54" s="27"/>
      <c r="I54" s="27"/>
    </row>
    <row r="55" spans="2:9" ht="15" customHeight="1">
      <c r="B55" s="111"/>
      <c r="C55" s="112"/>
      <c r="F55" s="187" t="s">
        <v>43</v>
      </c>
      <c r="G55" s="187"/>
      <c r="H55" s="27"/>
      <c r="I55" s="27"/>
    </row>
    <row r="56" spans="1:9" s="19" customFormat="1" ht="15">
      <c r="A56"/>
      <c r="B56"/>
      <c r="C56"/>
      <c r="D56"/>
      <c r="E56"/>
      <c r="F56"/>
      <c r="G56"/>
      <c r="H56"/>
      <c r="I56"/>
    </row>
    <row r="57" ht="15">
      <c r="C57" s="19"/>
    </row>
    <row r="58" spans="1:9" s="19" customFormat="1" ht="15">
      <c r="A58"/>
      <c r="B58"/>
      <c r="D58"/>
      <c r="E58"/>
      <c r="F58"/>
      <c r="G58"/>
      <c r="H58"/>
      <c r="I58"/>
    </row>
    <row r="59" spans="1:9" s="19" customFormat="1" ht="15">
      <c r="A59"/>
      <c r="B59"/>
      <c r="C59" s="4"/>
      <c r="D59"/>
      <c r="E59"/>
      <c r="F59"/>
      <c r="G59"/>
      <c r="H59"/>
      <c r="I59"/>
    </row>
  </sheetData>
  <sheetProtection/>
  <mergeCells count="23">
    <mergeCell ref="F53:G53"/>
    <mergeCell ref="F54:G54"/>
    <mergeCell ref="F55:G55"/>
    <mergeCell ref="B14:B17"/>
    <mergeCell ref="C14:C17"/>
    <mergeCell ref="G14:G17"/>
    <mergeCell ref="F40:F41"/>
    <mergeCell ref="G40:G41"/>
    <mergeCell ref="A40:A41"/>
    <mergeCell ref="B40:B41"/>
    <mergeCell ref="C40:C41"/>
    <mergeCell ref="D40:D41"/>
    <mergeCell ref="E40:E41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90" zoomScaleNormal="90" zoomScalePageLayoutView="0" workbookViewId="0" topLeftCell="A1">
      <pane ySplit="10" topLeftCell="A35" activePane="bottomLeft" state="frozen"/>
      <selection pane="topLeft" activeCell="A1" sqref="A1"/>
      <selection pane="bottomLeft" activeCell="C46" sqref="C46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9.140625" style="19" customWidth="1"/>
    <col min="12" max="12" width="13.8515625" style="19" customWidth="1"/>
    <col min="13" max="16" width="9.140625" style="19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119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16" s="97" customFormat="1" ht="15">
      <c r="A12" s="40" t="s">
        <v>68</v>
      </c>
      <c r="B12" s="8">
        <f>+G12*0.3</f>
        <v>42850781.699999996</v>
      </c>
      <c r="C12" s="8">
        <f>+G12*0.7</f>
        <v>99985157.3</v>
      </c>
      <c r="D12" s="8"/>
      <c r="E12" s="8"/>
      <c r="F12" s="8"/>
      <c r="G12" s="81">
        <v>142835939</v>
      </c>
      <c r="H12" s="82"/>
      <c r="I12" s="80"/>
      <c r="K12" s="117"/>
      <c r="L12" s="117"/>
      <c r="M12" s="117"/>
      <c r="N12" s="117"/>
      <c r="O12" s="117"/>
      <c r="P12" s="117"/>
    </row>
    <row r="13" spans="1:9" ht="15">
      <c r="A13" s="40" t="s">
        <v>16</v>
      </c>
      <c r="B13" s="8"/>
      <c r="C13" s="8">
        <f>59847712.49+85836272.03</f>
        <v>145683984.52</v>
      </c>
      <c r="D13" s="8"/>
      <c r="E13" s="8"/>
      <c r="F13" s="8"/>
      <c r="G13" s="81">
        <f>+C13</f>
        <v>145683984.52</v>
      </c>
      <c r="H13" s="82"/>
      <c r="I13" s="80"/>
    </row>
    <row r="14" spans="1:9" ht="15">
      <c r="A14" s="41" t="s">
        <v>17</v>
      </c>
      <c r="B14" s="189">
        <v>191235688.61</v>
      </c>
      <c r="C14" s="189"/>
      <c r="D14" s="10"/>
      <c r="E14" s="83"/>
      <c r="F14" s="83"/>
      <c r="G14" s="192">
        <f>+B14</f>
        <v>191235688.61</v>
      </c>
      <c r="H14" s="82"/>
      <c r="I14" s="80"/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20</v>
      </c>
      <c r="B17" s="191"/>
      <c r="C17" s="191"/>
      <c r="D17" s="84"/>
      <c r="E17" s="84"/>
      <c r="F17" s="84"/>
      <c r="G17" s="194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16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  <c r="M19" s="17"/>
      <c r="N19" s="17"/>
      <c r="O19" s="17"/>
      <c r="P19" s="17"/>
    </row>
    <row r="20" spans="1:11" ht="15">
      <c r="A20" s="39" t="s">
        <v>23</v>
      </c>
      <c r="B20" s="86">
        <f>SUM(B12:B19)</f>
        <v>234086470.31</v>
      </c>
      <c r="C20" s="86">
        <f>SUM(C12:C19)</f>
        <v>245669141.82</v>
      </c>
      <c r="D20" s="8"/>
      <c r="E20" s="8"/>
      <c r="F20" s="8"/>
      <c r="G20" s="81">
        <f>SUM(B20:F20)</f>
        <v>479755612.13</v>
      </c>
      <c r="H20" s="82"/>
      <c r="I20" s="80"/>
      <c r="K20" s="19" t="s">
        <v>118</v>
      </c>
    </row>
    <row r="21" spans="1:12" ht="15">
      <c r="A21" s="39" t="s">
        <v>24</v>
      </c>
      <c r="B21" s="8"/>
      <c r="C21" s="8"/>
      <c r="D21" s="8"/>
      <c r="E21" s="8"/>
      <c r="F21" s="8"/>
      <c r="G21" s="81"/>
      <c r="H21" s="82"/>
      <c r="I21" s="80"/>
      <c r="K21" s="118" t="s">
        <v>117</v>
      </c>
      <c r="L21" s="19">
        <v>894650</v>
      </c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11" ht="15">
      <c r="A23" s="40" t="s">
        <v>26</v>
      </c>
      <c r="B23" s="8"/>
      <c r="C23" s="8"/>
      <c r="D23" s="8"/>
      <c r="E23" s="8"/>
      <c r="F23" s="8"/>
      <c r="G23" s="81"/>
      <c r="H23" s="82"/>
      <c r="I23" s="80"/>
      <c r="K23" s="19" t="s">
        <v>115</v>
      </c>
    </row>
    <row r="24" spans="1:12" ht="15">
      <c r="A24" s="40" t="s">
        <v>27</v>
      </c>
      <c r="B24" s="8"/>
      <c r="C24" s="8"/>
      <c r="D24" s="8"/>
      <c r="E24" s="8"/>
      <c r="F24" s="8"/>
      <c r="G24" s="81"/>
      <c r="H24" s="82"/>
      <c r="I24" s="80"/>
      <c r="K24" s="118" t="s">
        <v>114</v>
      </c>
      <c r="L24" s="19">
        <v>2699170</v>
      </c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f>84130+52465+71760+179880+224700+134820+50420+7360</f>
        <v>805535</v>
      </c>
      <c r="D27" s="8"/>
      <c r="E27" s="8"/>
      <c r="F27" s="8"/>
      <c r="G27" s="81"/>
      <c r="H27" s="82"/>
      <c r="I27" s="80"/>
    </row>
    <row r="28" spans="1:9" ht="15">
      <c r="A28" s="40" t="s">
        <v>110</v>
      </c>
      <c r="B28" s="8"/>
      <c r="C28" s="8">
        <v>9680</v>
      </c>
      <c r="D28" s="8"/>
      <c r="E28" s="8"/>
      <c r="F28" s="8"/>
      <c r="G28" s="81"/>
      <c r="H28" s="82"/>
      <c r="I28" s="80"/>
    </row>
    <row r="29" spans="1:9" ht="15">
      <c r="A29" s="40" t="s">
        <v>81</v>
      </c>
      <c r="B29" s="8"/>
      <c r="C29" s="8">
        <f>12549.54+4183.18+4183.18+4221.37</f>
        <v>25137.27</v>
      </c>
      <c r="D29" s="8"/>
      <c r="E29" s="8"/>
      <c r="F29" s="8"/>
      <c r="G29" s="81"/>
      <c r="H29" s="82"/>
      <c r="I29" s="80"/>
    </row>
    <row r="30" spans="1:11" ht="15">
      <c r="A30" s="40" t="s">
        <v>89</v>
      </c>
      <c r="B30" s="8"/>
      <c r="C30" s="8"/>
      <c r="D30" s="8"/>
      <c r="E30" s="8"/>
      <c r="F30" s="8"/>
      <c r="G30" s="81"/>
      <c r="H30" s="82"/>
      <c r="I30" s="80"/>
      <c r="K30" s="19" t="s">
        <v>113</v>
      </c>
    </row>
    <row r="31" spans="1:12" ht="15">
      <c r="A31" s="40" t="s">
        <v>90</v>
      </c>
      <c r="B31" s="8"/>
      <c r="C31" s="8"/>
      <c r="D31" s="8"/>
      <c r="E31" s="8"/>
      <c r="F31" s="8"/>
      <c r="G31" s="81"/>
      <c r="H31" s="82"/>
      <c r="I31" s="80"/>
      <c r="K31" s="118" t="s">
        <v>114</v>
      </c>
      <c r="L31" s="19">
        <f>4141.52+42853.8</f>
        <v>46995.32000000001</v>
      </c>
    </row>
    <row r="32" spans="1:9" ht="15">
      <c r="A32" s="40" t="s">
        <v>91</v>
      </c>
      <c r="B32" s="8"/>
      <c r="C32" s="8"/>
      <c r="D32" s="8"/>
      <c r="E32" s="8"/>
      <c r="F32" s="8"/>
      <c r="G32" s="81"/>
      <c r="H32" s="82"/>
      <c r="I32" s="80"/>
    </row>
    <row r="33" spans="1:9" ht="15">
      <c r="A33" s="40" t="s">
        <v>107</v>
      </c>
      <c r="B33" s="8"/>
      <c r="C33" s="8">
        <v>410967.69</v>
      </c>
      <c r="D33" s="8"/>
      <c r="E33" s="8"/>
      <c r="F33" s="8"/>
      <c r="G33" s="81"/>
      <c r="H33" s="82"/>
      <c r="I33" s="80"/>
    </row>
    <row r="34" spans="1:9" ht="15" customHeight="1">
      <c r="A34" s="41" t="s">
        <v>102</v>
      </c>
      <c r="B34" s="8"/>
      <c r="C34" s="8">
        <v>445000</v>
      </c>
      <c r="D34" s="8"/>
      <c r="E34" s="8"/>
      <c r="F34" s="8"/>
      <c r="G34" s="81"/>
      <c r="H34" s="82"/>
      <c r="I34" s="80"/>
    </row>
    <row r="35" spans="1:9" ht="15" customHeight="1">
      <c r="A35" s="40" t="s">
        <v>92</v>
      </c>
      <c r="B35" s="8"/>
      <c r="C35" s="8"/>
      <c r="D35" s="8"/>
      <c r="E35" s="8"/>
      <c r="F35" s="8"/>
      <c r="G35" s="81"/>
      <c r="H35" s="82"/>
      <c r="I35" s="80"/>
    </row>
    <row r="36" spans="1:9" ht="15">
      <c r="A36" s="42" t="s">
        <v>31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32</v>
      </c>
      <c r="B37" s="8"/>
      <c r="C37" s="8"/>
      <c r="D37" s="8"/>
      <c r="E37" s="8"/>
      <c r="F37" s="8"/>
      <c r="G37" s="81"/>
      <c r="H37" s="82"/>
      <c r="I37" s="80"/>
    </row>
    <row r="38" spans="1:9" ht="15">
      <c r="A38" s="40" t="s">
        <v>97</v>
      </c>
      <c r="B38" s="8"/>
      <c r="C38" s="8">
        <v>990000</v>
      </c>
      <c r="D38" s="8"/>
      <c r="E38" s="8"/>
      <c r="F38" s="8"/>
      <c r="G38" s="81"/>
      <c r="H38" s="82"/>
      <c r="I38" s="80"/>
    </row>
    <row r="39" spans="1:9" ht="15">
      <c r="A39" s="40" t="s">
        <v>96</v>
      </c>
      <c r="B39" s="120"/>
      <c r="C39" s="120">
        <v>1993509</v>
      </c>
      <c r="D39" s="120"/>
      <c r="E39" s="120"/>
      <c r="F39" s="120"/>
      <c r="G39" s="121"/>
      <c r="H39" s="82"/>
      <c r="I39" s="80"/>
    </row>
    <row r="40" spans="1:9" ht="15">
      <c r="A40" s="216" t="s">
        <v>106</v>
      </c>
      <c r="B40" s="204"/>
      <c r="C40" s="189">
        <v>1177462.53</v>
      </c>
      <c r="D40" s="204"/>
      <c r="E40" s="204"/>
      <c r="F40" s="204"/>
      <c r="G40" s="206"/>
      <c r="H40" s="82"/>
      <c r="I40" s="80"/>
    </row>
    <row r="41" spans="1:9" ht="15">
      <c r="A41" s="217"/>
      <c r="B41" s="205"/>
      <c r="C41" s="191"/>
      <c r="D41" s="205"/>
      <c r="E41" s="205"/>
      <c r="F41" s="205"/>
      <c r="G41" s="207"/>
      <c r="H41" s="82"/>
      <c r="I41" s="80"/>
    </row>
    <row r="42" spans="1:9" ht="15">
      <c r="A42" s="122" t="s">
        <v>111</v>
      </c>
      <c r="B42" s="120"/>
      <c r="C42" s="119">
        <v>6732000</v>
      </c>
      <c r="D42" s="120"/>
      <c r="E42" s="120"/>
      <c r="F42" s="120"/>
      <c r="G42" s="121"/>
      <c r="H42" s="82"/>
      <c r="I42" s="80"/>
    </row>
    <row r="43" spans="1:9" ht="15">
      <c r="A43" s="40" t="s">
        <v>34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39" t="s">
        <v>35</v>
      </c>
      <c r="B44" s="86">
        <f>+SUM(B21:B43)</f>
        <v>0</v>
      </c>
      <c r="C44" s="86">
        <f>+SUM(C21:C43)</f>
        <v>12589291.49</v>
      </c>
      <c r="D44" s="8"/>
      <c r="E44" s="8"/>
      <c r="F44" s="8"/>
      <c r="G44" s="89"/>
      <c r="H44" s="82"/>
      <c r="I44" s="80"/>
    </row>
    <row r="45" spans="1:9" ht="15.75" thickBot="1">
      <c r="A45" s="44" t="s">
        <v>36</v>
      </c>
      <c r="B45" s="90">
        <f>+B20-B44</f>
        <v>234086470.31</v>
      </c>
      <c r="C45" s="90">
        <f>+C20-C44</f>
        <v>233079850.32999998</v>
      </c>
      <c r="D45" s="91"/>
      <c r="E45" s="91"/>
      <c r="F45" s="91"/>
      <c r="G45" s="92">
        <f>+G20</f>
        <v>479755612.13</v>
      </c>
      <c r="H45" s="82"/>
      <c r="I45" s="80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95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7" ht="15">
      <c r="C49" s="24" t="s">
        <v>38</v>
      </c>
      <c r="D49" s="24"/>
      <c r="E49" s="24"/>
      <c r="F49" s="24"/>
      <c r="G49" s="24"/>
    </row>
    <row r="50" ht="14.25" customHeight="1"/>
    <row r="51" ht="14.25" customHeight="1">
      <c r="C51" s="4"/>
    </row>
    <row r="52" ht="14.25" customHeight="1">
      <c r="C52" s="4"/>
    </row>
    <row r="53" spans="2:9" ht="15" customHeight="1">
      <c r="B53" s="22"/>
      <c r="C53" s="110"/>
      <c r="F53" s="196" t="s">
        <v>70</v>
      </c>
      <c r="G53" s="195"/>
      <c r="H53" s="26"/>
      <c r="I53" s="26"/>
    </row>
    <row r="54" spans="2:9" ht="15" customHeight="1">
      <c r="B54" s="111"/>
      <c r="C54" s="111"/>
      <c r="F54" s="197" t="s">
        <v>71</v>
      </c>
      <c r="G54" s="187"/>
      <c r="H54" s="27"/>
      <c r="I54" s="27"/>
    </row>
    <row r="55" spans="2:9" ht="15" customHeight="1">
      <c r="B55" s="111"/>
      <c r="C55" s="112"/>
      <c r="F55" s="187" t="s">
        <v>43</v>
      </c>
      <c r="G55" s="187"/>
      <c r="H55" s="27"/>
      <c r="I55" s="27"/>
    </row>
    <row r="56" spans="1:9" s="19" customFormat="1" ht="15">
      <c r="A56"/>
      <c r="B56"/>
      <c r="C56"/>
      <c r="D56"/>
      <c r="E56"/>
      <c r="F56"/>
      <c r="G56"/>
      <c r="H56"/>
      <c r="I56"/>
    </row>
    <row r="57" ht="15">
      <c r="C57" s="19"/>
    </row>
    <row r="58" spans="1:9" s="19" customFormat="1" ht="15">
      <c r="A58"/>
      <c r="B58"/>
      <c r="D58"/>
      <c r="E58"/>
      <c r="F58"/>
      <c r="G58"/>
      <c r="H58"/>
      <c r="I58"/>
    </row>
    <row r="59" spans="1:9" s="19" customFormat="1" ht="15">
      <c r="A59"/>
      <c r="B59"/>
      <c r="C59" s="4"/>
      <c r="D59"/>
      <c r="E59"/>
      <c r="F59"/>
      <c r="G59"/>
      <c r="H59"/>
      <c r="I59"/>
    </row>
  </sheetData>
  <sheetProtection/>
  <mergeCells count="23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40:A41"/>
    <mergeCell ref="B40:B41"/>
    <mergeCell ref="C40:C41"/>
    <mergeCell ref="D40:D41"/>
    <mergeCell ref="E40:E41"/>
    <mergeCell ref="F53:G53"/>
    <mergeCell ref="F54:G54"/>
    <mergeCell ref="F55:G55"/>
    <mergeCell ref="B14:B17"/>
    <mergeCell ref="C14:C17"/>
    <mergeCell ref="G14:G17"/>
    <mergeCell ref="F40:F41"/>
    <mergeCell ref="G40:G41"/>
  </mergeCells>
  <printOptions horizontalCentered="1"/>
  <pageMargins left="0.25" right="0.25" top="0.75" bottom="0.75" header="0.3" footer="0.3"/>
  <pageSetup fitToHeight="1" fitToWidth="1" horizontalDpi="360" verticalDpi="360" orientation="portrait" paperSize="9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90" zoomScaleNormal="90" zoomScalePageLayoutView="0" workbookViewId="0" topLeftCell="A1">
      <pane ySplit="10" topLeftCell="A32" activePane="bottomLeft" state="frozen"/>
      <selection pane="topLeft" activeCell="A1" sqref="A1"/>
      <selection pane="bottomLeft" activeCell="C44" sqref="C44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9.140625" style="19" customWidth="1"/>
    <col min="12" max="12" width="13.8515625" style="19" customWidth="1"/>
    <col min="13" max="16" width="9.140625" style="19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120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16" s="97" customFormat="1" ht="15">
      <c r="A12" s="40" t="s">
        <v>68</v>
      </c>
      <c r="B12" s="8">
        <f>+G12*0.3</f>
        <v>42850781.699999996</v>
      </c>
      <c r="C12" s="8">
        <f>+G12*0.7</f>
        <v>99985157.3</v>
      </c>
      <c r="D12" s="8"/>
      <c r="E12" s="8"/>
      <c r="F12" s="8"/>
      <c r="G12" s="81">
        <v>142835939</v>
      </c>
      <c r="H12" s="82"/>
      <c r="I12" s="80"/>
      <c r="K12" s="117"/>
      <c r="L12" s="117"/>
      <c r="M12" s="117"/>
      <c r="N12" s="117"/>
      <c r="O12" s="117"/>
      <c r="P12" s="117"/>
    </row>
    <row r="13" spans="1:9" ht="15">
      <c r="A13" s="40" t="s">
        <v>16</v>
      </c>
      <c r="B13" s="8"/>
      <c r="C13" s="8">
        <f>59847712.49+85836272.03</f>
        <v>145683984.52</v>
      </c>
      <c r="D13" s="8"/>
      <c r="E13" s="8"/>
      <c r="F13" s="8"/>
      <c r="G13" s="81">
        <f>+C13</f>
        <v>145683984.52</v>
      </c>
      <c r="H13" s="82"/>
      <c r="I13" s="80"/>
    </row>
    <row r="14" spans="1:9" ht="15">
      <c r="A14" s="41" t="s">
        <v>17</v>
      </c>
      <c r="B14" s="189">
        <v>191235688.61</v>
      </c>
      <c r="C14" s="189"/>
      <c r="D14" s="10"/>
      <c r="E14" s="83"/>
      <c r="F14" s="83"/>
      <c r="G14" s="192">
        <f>+B14</f>
        <v>191235688.61</v>
      </c>
      <c r="H14" s="82"/>
      <c r="I14" s="80"/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20</v>
      </c>
      <c r="B17" s="191"/>
      <c r="C17" s="191"/>
      <c r="D17" s="84"/>
      <c r="E17" s="84"/>
      <c r="F17" s="84"/>
      <c r="G17" s="194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16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  <c r="M19" s="17"/>
      <c r="N19" s="17"/>
      <c r="O19" s="17"/>
      <c r="P19" s="17"/>
    </row>
    <row r="20" spans="1:11" ht="15">
      <c r="A20" s="39" t="s">
        <v>23</v>
      </c>
      <c r="B20" s="86">
        <f>SUM(B12:B19)</f>
        <v>234086470.31</v>
      </c>
      <c r="C20" s="86">
        <f>SUM(C12:C19)</f>
        <v>245669141.82</v>
      </c>
      <c r="D20" s="8"/>
      <c r="E20" s="8"/>
      <c r="F20" s="8"/>
      <c r="G20" s="81">
        <f>SUM(B20:F20)</f>
        <v>479755612.13</v>
      </c>
      <c r="H20" s="82"/>
      <c r="I20" s="80"/>
      <c r="K20" s="19" t="s">
        <v>118</v>
      </c>
    </row>
    <row r="21" spans="1:12" ht="15">
      <c r="A21" s="39" t="s">
        <v>24</v>
      </c>
      <c r="B21" s="8"/>
      <c r="C21" s="8"/>
      <c r="D21" s="8"/>
      <c r="E21" s="8"/>
      <c r="F21" s="8"/>
      <c r="G21" s="81"/>
      <c r="H21" s="82"/>
      <c r="I21" s="80"/>
      <c r="K21" s="118" t="s">
        <v>117</v>
      </c>
      <c r="L21" s="19">
        <v>894650</v>
      </c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11" ht="15">
      <c r="A23" s="40" t="s">
        <v>26</v>
      </c>
      <c r="B23" s="8"/>
      <c r="C23" s="8"/>
      <c r="D23" s="8"/>
      <c r="E23" s="8"/>
      <c r="F23" s="8"/>
      <c r="G23" s="81"/>
      <c r="H23" s="82"/>
      <c r="I23" s="80"/>
      <c r="K23" s="19" t="s">
        <v>115</v>
      </c>
    </row>
    <row r="24" spans="1:12" ht="15">
      <c r="A24" s="40" t="s">
        <v>27</v>
      </c>
      <c r="B24" s="8"/>
      <c r="C24" s="8"/>
      <c r="D24" s="8"/>
      <c r="E24" s="8"/>
      <c r="F24" s="8"/>
      <c r="G24" s="81"/>
      <c r="H24" s="82"/>
      <c r="I24" s="80"/>
      <c r="K24" s="118" t="s">
        <v>114</v>
      </c>
      <c r="L24" s="19">
        <v>2699170</v>
      </c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f>84130+52465+71760+179880+224700+134820+50420+7360</f>
        <v>805535</v>
      </c>
      <c r="D27" s="8"/>
      <c r="E27" s="8"/>
      <c r="F27" s="8"/>
      <c r="G27" s="81"/>
      <c r="H27" s="82"/>
      <c r="I27" s="80"/>
    </row>
    <row r="28" spans="1:9" ht="15">
      <c r="A28" s="40" t="s">
        <v>110</v>
      </c>
      <c r="B28" s="8"/>
      <c r="C28" s="8">
        <v>9680</v>
      </c>
      <c r="D28" s="8"/>
      <c r="E28" s="8"/>
      <c r="F28" s="8"/>
      <c r="G28" s="81"/>
      <c r="H28" s="82"/>
      <c r="I28" s="80"/>
    </row>
    <row r="29" spans="1:9" ht="15">
      <c r="A29" s="40" t="s">
        <v>81</v>
      </c>
      <c r="B29" s="8"/>
      <c r="C29" s="8">
        <f>12549.54+4183.18+4183.18+4221.37+4603.57+4225.18</f>
        <v>33966.020000000004</v>
      </c>
      <c r="D29" s="8"/>
      <c r="E29" s="8"/>
      <c r="F29" s="8"/>
      <c r="G29" s="81"/>
      <c r="H29" s="82"/>
      <c r="I29" s="80"/>
    </row>
    <row r="30" spans="1:11" ht="15">
      <c r="A30" s="40" t="s">
        <v>89</v>
      </c>
      <c r="B30" s="8"/>
      <c r="C30" s="8"/>
      <c r="D30" s="8"/>
      <c r="E30" s="8"/>
      <c r="F30" s="8"/>
      <c r="G30" s="81"/>
      <c r="H30" s="82"/>
      <c r="I30" s="80"/>
      <c r="K30" s="19" t="s">
        <v>113</v>
      </c>
    </row>
    <row r="31" spans="1:12" ht="15">
      <c r="A31" s="40" t="s">
        <v>90</v>
      </c>
      <c r="B31" s="8"/>
      <c r="C31" s="8"/>
      <c r="D31" s="8"/>
      <c r="E31" s="8"/>
      <c r="F31" s="8"/>
      <c r="G31" s="81"/>
      <c r="H31" s="82"/>
      <c r="I31" s="80"/>
      <c r="K31" s="118" t="s">
        <v>114</v>
      </c>
      <c r="L31" s="19">
        <f>4141.52+42853.8</f>
        <v>46995.32000000001</v>
      </c>
    </row>
    <row r="32" spans="1:9" ht="15">
      <c r="A32" s="40" t="s">
        <v>91</v>
      </c>
      <c r="B32" s="8"/>
      <c r="C32" s="8"/>
      <c r="D32" s="8"/>
      <c r="E32" s="8"/>
      <c r="F32" s="8"/>
      <c r="G32" s="81"/>
      <c r="H32" s="82"/>
      <c r="I32" s="80"/>
    </row>
    <row r="33" spans="1:9" ht="15">
      <c r="A33" s="40" t="s">
        <v>107</v>
      </c>
      <c r="B33" s="8"/>
      <c r="C33" s="8">
        <v>410967.69</v>
      </c>
      <c r="D33" s="8"/>
      <c r="E33" s="8"/>
      <c r="F33" s="8"/>
      <c r="G33" s="81"/>
      <c r="H33" s="82"/>
      <c r="I33" s="80"/>
    </row>
    <row r="34" spans="1:9" ht="15" customHeight="1">
      <c r="A34" s="41" t="s">
        <v>102</v>
      </c>
      <c r="B34" s="8"/>
      <c r="C34" s="8">
        <v>445000</v>
      </c>
      <c r="D34" s="8"/>
      <c r="E34" s="8"/>
      <c r="F34" s="8"/>
      <c r="G34" s="81"/>
      <c r="H34" s="82"/>
      <c r="I34" s="80"/>
    </row>
    <row r="35" spans="1:9" ht="15" customHeight="1">
      <c r="A35" s="40" t="s">
        <v>92</v>
      </c>
      <c r="B35" s="8"/>
      <c r="C35" s="8"/>
      <c r="D35" s="8"/>
      <c r="E35" s="8"/>
      <c r="F35" s="8"/>
      <c r="G35" s="81"/>
      <c r="H35" s="82"/>
      <c r="I35" s="80"/>
    </row>
    <row r="36" spans="1:9" ht="15">
      <c r="A36" s="42" t="s">
        <v>31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32</v>
      </c>
      <c r="B37" s="8"/>
      <c r="C37" s="8"/>
      <c r="D37" s="8"/>
      <c r="E37" s="8"/>
      <c r="F37" s="8"/>
      <c r="G37" s="81"/>
      <c r="H37" s="82"/>
      <c r="I37" s="80"/>
    </row>
    <row r="38" spans="1:9" ht="15">
      <c r="A38" s="40" t="s">
        <v>97</v>
      </c>
      <c r="B38" s="8"/>
      <c r="C38" s="8">
        <v>990000</v>
      </c>
      <c r="D38" s="8"/>
      <c r="E38" s="8"/>
      <c r="F38" s="8"/>
      <c r="G38" s="81"/>
      <c r="H38" s="82"/>
      <c r="I38" s="80"/>
    </row>
    <row r="39" spans="1:9" ht="15">
      <c r="A39" s="40" t="s">
        <v>96</v>
      </c>
      <c r="B39" s="120"/>
      <c r="C39" s="120">
        <v>1993509</v>
      </c>
      <c r="D39" s="120"/>
      <c r="E39" s="120"/>
      <c r="F39" s="120"/>
      <c r="G39" s="121"/>
      <c r="H39" s="82"/>
      <c r="I39" s="80"/>
    </row>
    <row r="40" spans="1:9" ht="15">
      <c r="A40" s="216" t="s">
        <v>106</v>
      </c>
      <c r="B40" s="204"/>
      <c r="C40" s="189">
        <v>1177462.53</v>
      </c>
      <c r="D40" s="204"/>
      <c r="E40" s="204"/>
      <c r="F40" s="204"/>
      <c r="G40" s="206"/>
      <c r="H40" s="82"/>
      <c r="I40" s="80"/>
    </row>
    <row r="41" spans="1:9" ht="15">
      <c r="A41" s="217"/>
      <c r="B41" s="205"/>
      <c r="C41" s="191"/>
      <c r="D41" s="205"/>
      <c r="E41" s="205"/>
      <c r="F41" s="205"/>
      <c r="G41" s="207"/>
      <c r="H41" s="82"/>
      <c r="I41" s="80"/>
    </row>
    <row r="42" spans="1:9" ht="15">
      <c r="A42" s="122" t="s">
        <v>111</v>
      </c>
      <c r="B42" s="120"/>
      <c r="C42" s="119">
        <v>6732000</v>
      </c>
      <c r="D42" s="120"/>
      <c r="E42" s="120"/>
      <c r="F42" s="120"/>
      <c r="G42" s="121"/>
      <c r="H42" s="82"/>
      <c r="I42" s="80"/>
    </row>
    <row r="43" spans="1:9" ht="15">
      <c r="A43" s="40" t="s">
        <v>34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39" t="s">
        <v>35</v>
      </c>
      <c r="B44" s="86">
        <f>+SUM(B21:B43)</f>
        <v>0</v>
      </c>
      <c r="C44" s="86">
        <f>+SUM(C21:C43)</f>
        <v>12598120.24</v>
      </c>
      <c r="D44" s="8"/>
      <c r="E44" s="8"/>
      <c r="F44" s="8"/>
      <c r="G44" s="89"/>
      <c r="H44" s="82"/>
      <c r="I44" s="80"/>
    </row>
    <row r="45" spans="1:9" ht="15.75" thickBot="1">
      <c r="A45" s="44" t="s">
        <v>36</v>
      </c>
      <c r="B45" s="90">
        <f>+B20-B44</f>
        <v>234086470.31</v>
      </c>
      <c r="C45" s="90">
        <f>+C20-C44</f>
        <v>233071021.57999998</v>
      </c>
      <c r="D45" s="91"/>
      <c r="E45" s="91"/>
      <c r="F45" s="91"/>
      <c r="G45" s="92">
        <f>+G20</f>
        <v>479755612.13</v>
      </c>
      <c r="H45" s="82"/>
      <c r="I45" s="80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95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7" ht="15">
      <c r="C49" s="24" t="s">
        <v>38</v>
      </c>
      <c r="D49" s="24"/>
      <c r="E49" s="24"/>
      <c r="F49" s="24"/>
      <c r="G49" s="24"/>
    </row>
    <row r="50" ht="14.25" customHeight="1"/>
    <row r="51" ht="14.25" customHeight="1">
      <c r="C51" s="4"/>
    </row>
    <row r="52" ht="14.25" customHeight="1">
      <c r="C52" s="4"/>
    </row>
    <row r="53" spans="2:9" ht="15" customHeight="1">
      <c r="B53" s="22"/>
      <c r="C53" s="110"/>
      <c r="F53" s="196" t="s">
        <v>70</v>
      </c>
      <c r="G53" s="195"/>
      <c r="H53" s="26"/>
      <c r="I53" s="26"/>
    </row>
    <row r="54" spans="2:9" ht="15" customHeight="1">
      <c r="B54" s="111"/>
      <c r="C54" s="111"/>
      <c r="F54" s="197" t="s">
        <v>71</v>
      </c>
      <c r="G54" s="187"/>
      <c r="H54" s="27"/>
      <c r="I54" s="27"/>
    </row>
    <row r="55" spans="2:9" ht="15" customHeight="1">
      <c r="B55" s="111"/>
      <c r="C55" s="112"/>
      <c r="F55" s="187" t="s">
        <v>43</v>
      </c>
      <c r="G55" s="187"/>
      <c r="H55" s="27"/>
      <c r="I55" s="27"/>
    </row>
    <row r="56" spans="1:9" s="19" customFormat="1" ht="15">
      <c r="A56"/>
      <c r="B56"/>
      <c r="C56"/>
      <c r="D56"/>
      <c r="E56"/>
      <c r="F56"/>
      <c r="G56"/>
      <c r="H56"/>
      <c r="I56"/>
    </row>
    <row r="57" ht="15">
      <c r="C57" s="19"/>
    </row>
    <row r="58" spans="1:9" s="19" customFormat="1" ht="15">
      <c r="A58"/>
      <c r="B58"/>
      <c r="D58"/>
      <c r="E58"/>
      <c r="F58"/>
      <c r="G58"/>
      <c r="H58"/>
      <c r="I58"/>
    </row>
    <row r="59" spans="1:9" s="19" customFormat="1" ht="15">
      <c r="A59"/>
      <c r="B59"/>
      <c r="C59" s="4"/>
      <c r="D59"/>
      <c r="E59"/>
      <c r="F59"/>
      <c r="G59"/>
      <c r="H59"/>
      <c r="I59"/>
    </row>
  </sheetData>
  <sheetProtection/>
  <mergeCells count="23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40:A41"/>
    <mergeCell ref="B40:B41"/>
    <mergeCell ref="C40:C41"/>
    <mergeCell ref="D40:D41"/>
    <mergeCell ref="E40:E41"/>
    <mergeCell ref="F53:G53"/>
    <mergeCell ref="F54:G54"/>
    <mergeCell ref="F55:G55"/>
    <mergeCell ref="B14:B17"/>
    <mergeCell ref="C14:C17"/>
    <mergeCell ref="G14:G17"/>
    <mergeCell ref="F40:F41"/>
    <mergeCell ref="G40:G41"/>
  </mergeCells>
  <printOptions horizontalCentered="1"/>
  <pageMargins left="0.25" right="0.25" top="0.75" bottom="0.75" header="0.3" footer="0.3"/>
  <pageSetup fitToHeight="1" fitToWidth="1" horizontalDpi="360" verticalDpi="360" orientation="portrait" paperSize="9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90" zoomScaleNormal="90" zoomScalePageLayoutView="0" workbookViewId="0" topLeftCell="A1">
      <pane ySplit="10" topLeftCell="A29" activePane="bottomLeft" state="frozen"/>
      <selection pane="topLeft" activeCell="A1" sqref="A1"/>
      <selection pane="bottomLeft" activeCell="C55" sqref="C5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9.140625" style="19" customWidth="1"/>
    <col min="12" max="12" width="13.8515625" style="19" customWidth="1"/>
    <col min="13" max="16" width="9.140625" style="19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121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16" s="97" customFormat="1" ht="15">
      <c r="A12" s="40" t="s">
        <v>68</v>
      </c>
      <c r="B12" s="8">
        <f>+G12*0.3</f>
        <v>42850781.699999996</v>
      </c>
      <c r="C12" s="8">
        <f>+G12*0.7</f>
        <v>99985157.3</v>
      </c>
      <c r="D12" s="8"/>
      <c r="E12" s="8"/>
      <c r="F12" s="8"/>
      <c r="G12" s="81">
        <v>142835939</v>
      </c>
      <c r="H12" s="82"/>
      <c r="I12" s="80"/>
      <c r="K12" s="117"/>
      <c r="L12" s="117"/>
      <c r="M12" s="117"/>
      <c r="N12" s="117"/>
      <c r="O12" s="117"/>
      <c r="P12" s="117"/>
    </row>
    <row r="13" spans="1:9" ht="15">
      <c r="A13" s="40" t="s">
        <v>16</v>
      </c>
      <c r="B13" s="8"/>
      <c r="C13" s="8">
        <f>59847712.49+85836272.03</f>
        <v>145683984.52</v>
      </c>
      <c r="D13" s="8"/>
      <c r="E13" s="8"/>
      <c r="F13" s="8"/>
      <c r="G13" s="81">
        <f>+C13</f>
        <v>145683984.52</v>
      </c>
      <c r="H13" s="82"/>
      <c r="I13" s="80"/>
    </row>
    <row r="14" spans="1:9" ht="15">
      <c r="A14" s="41" t="s">
        <v>17</v>
      </c>
      <c r="B14" s="189">
        <v>191235688.61</v>
      </c>
      <c r="C14" s="189"/>
      <c r="D14" s="10"/>
      <c r="E14" s="83"/>
      <c r="F14" s="83"/>
      <c r="G14" s="192">
        <f>+B14</f>
        <v>191235688.61</v>
      </c>
      <c r="H14" s="82"/>
      <c r="I14" s="80"/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20</v>
      </c>
      <c r="B17" s="191"/>
      <c r="C17" s="191"/>
      <c r="D17" s="84"/>
      <c r="E17" s="84"/>
      <c r="F17" s="84"/>
      <c r="G17" s="194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16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  <c r="M19" s="17"/>
      <c r="N19" s="17"/>
      <c r="O19" s="17"/>
      <c r="P19" s="17"/>
    </row>
    <row r="20" spans="1:11" ht="15">
      <c r="A20" s="39" t="s">
        <v>23</v>
      </c>
      <c r="B20" s="86">
        <f>SUM(B12:B19)</f>
        <v>234086470.31</v>
      </c>
      <c r="C20" s="86">
        <f>SUM(C12:C19)</f>
        <v>245669141.82</v>
      </c>
      <c r="D20" s="8"/>
      <c r="E20" s="8"/>
      <c r="F20" s="8"/>
      <c r="G20" s="81">
        <f>SUM(B20:F20)</f>
        <v>479755612.13</v>
      </c>
      <c r="H20" s="82"/>
      <c r="I20" s="80"/>
      <c r="K20" s="19" t="s">
        <v>118</v>
      </c>
    </row>
    <row r="21" spans="1:12" ht="15">
      <c r="A21" s="39" t="s">
        <v>24</v>
      </c>
      <c r="B21" s="8"/>
      <c r="C21" s="8"/>
      <c r="D21" s="8"/>
      <c r="E21" s="8"/>
      <c r="F21" s="8"/>
      <c r="G21" s="81"/>
      <c r="H21" s="82"/>
      <c r="I21" s="80"/>
      <c r="K21" s="118" t="s">
        <v>117</v>
      </c>
      <c r="L21" s="19">
        <v>894650</v>
      </c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11" ht="15">
      <c r="A23" s="40" t="s">
        <v>26</v>
      </c>
      <c r="B23" s="8"/>
      <c r="C23" s="8"/>
      <c r="D23" s="8"/>
      <c r="E23" s="8"/>
      <c r="F23" s="8"/>
      <c r="G23" s="81"/>
      <c r="H23" s="82"/>
      <c r="I23" s="80"/>
      <c r="K23" s="19" t="s">
        <v>115</v>
      </c>
    </row>
    <row r="24" spans="1:12" ht="15">
      <c r="A24" s="40" t="s">
        <v>27</v>
      </c>
      <c r="B24" s="8"/>
      <c r="C24" s="8"/>
      <c r="D24" s="8"/>
      <c r="E24" s="8"/>
      <c r="F24" s="8"/>
      <c r="G24" s="81"/>
      <c r="H24" s="82"/>
      <c r="I24" s="80"/>
      <c r="K24" s="118" t="s">
        <v>114</v>
      </c>
      <c r="L24" s="19">
        <v>2699170</v>
      </c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f>84130+52465+71760+179880+224700+134820+50420+7360+50565+104790+29900+79840+74900</f>
        <v>1145530</v>
      </c>
      <c r="D27" s="8"/>
      <c r="E27" s="8"/>
      <c r="F27" s="8"/>
      <c r="G27" s="81"/>
      <c r="H27" s="82"/>
      <c r="I27" s="80"/>
    </row>
    <row r="28" spans="1:9" ht="15">
      <c r="A28" s="40" t="s">
        <v>110</v>
      </c>
      <c r="B28" s="8"/>
      <c r="C28" s="8">
        <v>9680</v>
      </c>
      <c r="D28" s="8"/>
      <c r="E28" s="8"/>
      <c r="F28" s="8"/>
      <c r="G28" s="81"/>
      <c r="H28" s="82"/>
      <c r="I28" s="80"/>
    </row>
    <row r="29" spans="1:9" ht="15">
      <c r="A29" s="40" t="s">
        <v>81</v>
      </c>
      <c r="B29" s="8"/>
      <c r="C29" s="8">
        <f>12549.54+4183.18+4183.18+4221.37+4603.57+4225.18+4183.18+4183.18+45252</f>
        <v>87584.38</v>
      </c>
      <c r="D29" s="8"/>
      <c r="E29" s="8"/>
      <c r="F29" s="8"/>
      <c r="G29" s="81"/>
      <c r="H29" s="82"/>
      <c r="I29" s="80"/>
    </row>
    <row r="30" spans="1:11" ht="15">
      <c r="A30" s="40" t="s">
        <v>89</v>
      </c>
      <c r="B30" s="8"/>
      <c r="C30" s="8"/>
      <c r="D30" s="8"/>
      <c r="E30" s="8"/>
      <c r="F30" s="8"/>
      <c r="G30" s="81"/>
      <c r="H30" s="82"/>
      <c r="I30" s="80"/>
      <c r="K30" s="19" t="s">
        <v>113</v>
      </c>
    </row>
    <row r="31" spans="1:12" ht="15">
      <c r="A31" s="40" t="s">
        <v>90</v>
      </c>
      <c r="B31" s="8"/>
      <c r="C31" s="8"/>
      <c r="D31" s="8"/>
      <c r="E31" s="8"/>
      <c r="F31" s="8"/>
      <c r="G31" s="81"/>
      <c r="H31" s="82"/>
      <c r="I31" s="80"/>
      <c r="K31" s="118" t="s">
        <v>114</v>
      </c>
      <c r="L31" s="19">
        <f>4141.52+42853.8</f>
        <v>46995.32000000001</v>
      </c>
    </row>
    <row r="32" spans="1:9" ht="15">
      <c r="A32" s="40" t="s">
        <v>91</v>
      </c>
      <c r="B32" s="8"/>
      <c r="C32" s="8"/>
      <c r="D32" s="8"/>
      <c r="E32" s="8"/>
      <c r="F32" s="8"/>
      <c r="G32" s="81"/>
      <c r="H32" s="82"/>
      <c r="I32" s="80"/>
    </row>
    <row r="33" spans="1:9" ht="15">
      <c r="A33" s="40" t="s">
        <v>107</v>
      </c>
      <c r="B33" s="8"/>
      <c r="C33" s="8">
        <v>410967.69</v>
      </c>
      <c r="D33" s="8"/>
      <c r="E33" s="8"/>
      <c r="F33" s="8"/>
      <c r="G33" s="81"/>
      <c r="H33" s="82"/>
      <c r="I33" s="80"/>
    </row>
    <row r="34" spans="1:9" ht="15">
      <c r="A34" s="41" t="s">
        <v>122</v>
      </c>
      <c r="B34" s="8"/>
      <c r="C34" s="8">
        <v>20025.32</v>
      </c>
      <c r="D34" s="8"/>
      <c r="E34" s="8"/>
      <c r="F34" s="8"/>
      <c r="G34" s="81"/>
      <c r="H34" s="82"/>
      <c r="I34" s="80"/>
    </row>
    <row r="35" spans="1:9" ht="15" customHeight="1">
      <c r="A35" s="41" t="s">
        <v>102</v>
      </c>
      <c r="B35" s="8"/>
      <c r="C35" s="8">
        <v>445000</v>
      </c>
      <c r="D35" s="8"/>
      <c r="E35" s="8"/>
      <c r="F35" s="8"/>
      <c r="G35" s="81"/>
      <c r="H35" s="82"/>
      <c r="I35" s="80"/>
    </row>
    <row r="36" spans="1:9" ht="15" customHeight="1">
      <c r="A36" s="40" t="s">
        <v>92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2" t="s">
        <v>31</v>
      </c>
      <c r="B37" s="8"/>
      <c r="C37" s="8"/>
      <c r="D37" s="8"/>
      <c r="E37" s="8"/>
      <c r="F37" s="8"/>
      <c r="G37" s="81"/>
      <c r="H37" s="82"/>
      <c r="I37" s="80"/>
    </row>
    <row r="38" spans="1:9" ht="15">
      <c r="A38" s="40" t="s">
        <v>32</v>
      </c>
      <c r="B38" s="8"/>
      <c r="C38" s="8"/>
      <c r="D38" s="8"/>
      <c r="E38" s="8"/>
      <c r="F38" s="8"/>
      <c r="G38" s="81"/>
      <c r="H38" s="82"/>
      <c r="I38" s="80"/>
    </row>
    <row r="39" spans="1:9" ht="15">
      <c r="A39" s="40" t="s">
        <v>97</v>
      </c>
      <c r="B39" s="8"/>
      <c r="C39" s="8">
        <v>990000</v>
      </c>
      <c r="D39" s="8"/>
      <c r="E39" s="8"/>
      <c r="F39" s="8"/>
      <c r="G39" s="81"/>
      <c r="H39" s="82"/>
      <c r="I39" s="80"/>
    </row>
    <row r="40" spans="1:9" ht="15">
      <c r="A40" s="40" t="s">
        <v>96</v>
      </c>
      <c r="B40" s="124"/>
      <c r="C40" s="124">
        <v>1993509</v>
      </c>
      <c r="D40" s="124"/>
      <c r="E40" s="124"/>
      <c r="F40" s="124"/>
      <c r="G40" s="125"/>
      <c r="H40" s="82"/>
      <c r="I40" s="80"/>
    </row>
    <row r="41" spans="1:9" ht="15">
      <c r="A41" s="216" t="s">
        <v>106</v>
      </c>
      <c r="B41" s="204"/>
      <c r="C41" s="189">
        <v>1177462.53</v>
      </c>
      <c r="D41" s="204"/>
      <c r="E41" s="204"/>
      <c r="F41" s="204"/>
      <c r="G41" s="206"/>
      <c r="H41" s="82"/>
      <c r="I41" s="80"/>
    </row>
    <row r="42" spans="1:9" ht="15">
      <c r="A42" s="217"/>
      <c r="B42" s="205"/>
      <c r="C42" s="191"/>
      <c r="D42" s="205"/>
      <c r="E42" s="205"/>
      <c r="F42" s="205"/>
      <c r="G42" s="207"/>
      <c r="H42" s="82"/>
      <c r="I42" s="80"/>
    </row>
    <row r="43" spans="1:9" ht="15">
      <c r="A43" s="126" t="s">
        <v>111</v>
      </c>
      <c r="B43" s="124"/>
      <c r="C43" s="123">
        <v>6732000</v>
      </c>
      <c r="D43" s="124"/>
      <c r="E43" s="124"/>
      <c r="F43" s="124"/>
      <c r="G43" s="125"/>
      <c r="H43" s="82"/>
      <c r="I43" s="80"/>
    </row>
    <row r="44" spans="1:9" ht="15">
      <c r="A44" s="126" t="s">
        <v>123</v>
      </c>
      <c r="B44" s="124"/>
      <c r="C44" s="123">
        <v>4171800</v>
      </c>
      <c r="D44" s="124"/>
      <c r="E44" s="124"/>
      <c r="F44" s="124"/>
      <c r="G44" s="125"/>
      <c r="H44" s="82"/>
      <c r="I44" s="80"/>
    </row>
    <row r="45" spans="1:9" ht="15">
      <c r="A45" s="126" t="s">
        <v>124</v>
      </c>
      <c r="B45" s="124"/>
      <c r="C45" s="123">
        <v>2258380</v>
      </c>
      <c r="D45" s="124"/>
      <c r="E45" s="124"/>
      <c r="F45" s="124"/>
      <c r="G45" s="125"/>
      <c r="H45" s="82"/>
      <c r="I45" s="80"/>
    </row>
    <row r="46" spans="1:9" ht="15">
      <c r="A46" s="40" t="s">
        <v>34</v>
      </c>
      <c r="B46" s="8"/>
      <c r="C46" s="8"/>
      <c r="D46" s="8"/>
      <c r="E46" s="8"/>
      <c r="F46" s="8"/>
      <c r="G46" s="81"/>
      <c r="H46" s="82"/>
      <c r="I46" s="80"/>
    </row>
    <row r="47" spans="1:9" ht="15">
      <c r="A47" s="39" t="s">
        <v>35</v>
      </c>
      <c r="B47" s="86">
        <f>+SUM(B21:B46)</f>
        <v>0</v>
      </c>
      <c r="C47" s="86">
        <f>+SUM(C21:C46)</f>
        <v>19441938.92</v>
      </c>
      <c r="D47" s="8"/>
      <c r="E47" s="8"/>
      <c r="F47" s="8"/>
      <c r="G47" s="89"/>
      <c r="H47" s="82"/>
      <c r="I47" s="80"/>
    </row>
    <row r="48" spans="1:9" ht="15.75" thickBot="1">
      <c r="A48" s="44" t="s">
        <v>36</v>
      </c>
      <c r="B48" s="90">
        <f>+B20-B47</f>
        <v>234086470.31</v>
      </c>
      <c r="C48" s="90">
        <f>+C20-C47</f>
        <v>226227202.89999998</v>
      </c>
      <c r="D48" s="91"/>
      <c r="E48" s="91"/>
      <c r="F48" s="91"/>
      <c r="G48" s="92">
        <f>+G20</f>
        <v>479755612.13</v>
      </c>
      <c r="H48" s="82"/>
      <c r="I48" s="80"/>
    </row>
    <row r="49" spans="1:9" ht="15">
      <c r="A49" s="20"/>
      <c r="B49" s="21"/>
      <c r="C49" s="21"/>
      <c r="D49" s="7"/>
      <c r="E49" s="7"/>
      <c r="F49" s="7"/>
      <c r="G49" s="21"/>
      <c r="H49" s="7"/>
      <c r="I49" s="22"/>
    </row>
    <row r="50" spans="1:9" ht="15">
      <c r="A50" s="23" t="s">
        <v>95</v>
      </c>
      <c r="B50" s="21"/>
      <c r="C50" s="21"/>
      <c r="D50" s="7"/>
      <c r="E50" s="7"/>
      <c r="F50" s="7"/>
      <c r="G50" s="21"/>
      <c r="H50" s="7"/>
      <c r="I50" s="22"/>
    </row>
    <row r="51" spans="3:7" ht="15">
      <c r="C51" s="24" t="s">
        <v>37</v>
      </c>
      <c r="D51" s="24"/>
      <c r="E51" s="24"/>
      <c r="F51" s="24"/>
      <c r="G51" s="24"/>
    </row>
    <row r="52" spans="3:7" ht="15">
      <c r="C52" s="24" t="s">
        <v>38</v>
      </c>
      <c r="D52" s="24"/>
      <c r="E52" s="24"/>
      <c r="F52" s="24"/>
      <c r="G52" s="24"/>
    </row>
    <row r="53" ht="14.25" customHeight="1"/>
    <row r="54" ht="14.25" customHeight="1">
      <c r="C54" s="4"/>
    </row>
    <row r="55" ht="14.25" customHeight="1">
      <c r="C55" s="4"/>
    </row>
    <row r="56" spans="2:9" ht="15" customHeight="1">
      <c r="B56" s="22"/>
      <c r="C56" s="110"/>
      <c r="F56" s="196" t="s">
        <v>70</v>
      </c>
      <c r="G56" s="195"/>
      <c r="H56" s="26"/>
      <c r="I56" s="26"/>
    </row>
    <row r="57" spans="2:9" ht="15" customHeight="1">
      <c r="B57" s="111"/>
      <c r="C57" s="111"/>
      <c r="F57" s="197" t="s">
        <v>71</v>
      </c>
      <c r="G57" s="187"/>
      <c r="H57" s="27"/>
      <c r="I57" s="27"/>
    </row>
    <row r="58" spans="2:9" ht="15" customHeight="1">
      <c r="B58" s="111"/>
      <c r="C58" s="112"/>
      <c r="F58" s="187" t="s">
        <v>43</v>
      </c>
      <c r="G58" s="187"/>
      <c r="H58" s="27"/>
      <c r="I58" s="27"/>
    </row>
    <row r="59" spans="1:9" s="19" customFormat="1" ht="15">
      <c r="A59"/>
      <c r="B59"/>
      <c r="C59"/>
      <c r="D59"/>
      <c r="E59"/>
      <c r="F59"/>
      <c r="G59"/>
      <c r="H59"/>
      <c r="I59"/>
    </row>
    <row r="60" ht="15">
      <c r="C60" s="19"/>
    </row>
    <row r="61" spans="1:9" s="19" customFormat="1" ht="15">
      <c r="A61"/>
      <c r="B61"/>
      <c r="D61"/>
      <c r="E61"/>
      <c r="F61"/>
      <c r="G61"/>
      <c r="H61"/>
      <c r="I61"/>
    </row>
    <row r="62" spans="1:9" s="19" customFormat="1" ht="15">
      <c r="A62"/>
      <c r="B62"/>
      <c r="C62" s="4">
        <v>12598120.24</v>
      </c>
      <c r="D62"/>
      <c r="E62"/>
      <c r="F62"/>
      <c r="G62"/>
      <c r="H62"/>
      <c r="I62"/>
    </row>
    <row r="63" ht="15">
      <c r="C63">
        <v>7096318.68</v>
      </c>
    </row>
    <row r="64" ht="15">
      <c r="C64" s="4">
        <f>+C62+C63</f>
        <v>19694438.92</v>
      </c>
    </row>
    <row r="65" ht="15">
      <c r="C65" s="4">
        <f>+C47</f>
        <v>19441938.92</v>
      </c>
    </row>
    <row r="66" ht="15">
      <c r="C66" s="4">
        <f>+C64-C65</f>
        <v>252500</v>
      </c>
    </row>
  </sheetData>
  <sheetProtection/>
  <mergeCells count="23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41:A42"/>
    <mergeCell ref="B41:B42"/>
    <mergeCell ref="C41:C42"/>
    <mergeCell ref="D41:D42"/>
    <mergeCell ref="E41:E42"/>
    <mergeCell ref="F56:G56"/>
    <mergeCell ref="F57:G57"/>
    <mergeCell ref="F58:G58"/>
    <mergeCell ref="B14:B17"/>
    <mergeCell ref="C14:C17"/>
    <mergeCell ref="G14:G17"/>
    <mergeCell ref="F41:F42"/>
    <mergeCell ref="G41:G42"/>
  </mergeCells>
  <printOptions horizontalCentered="1"/>
  <pageMargins left="0.25" right="0.25" top="0.75" bottom="0.75" header="0.3" footer="0.3"/>
  <pageSetup fitToHeight="1" fitToWidth="1" horizontalDpi="360" verticalDpi="360" orientation="portrait" paperSize="9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90" zoomScaleNormal="90" zoomScalePageLayoutView="0" workbookViewId="0" topLeftCell="A1">
      <pane ySplit="10" topLeftCell="A33" activePane="bottomLeft" state="frozen"/>
      <selection pane="topLeft" activeCell="A1" sqref="A1"/>
      <selection pane="bottomLeft" activeCell="A37" sqref="A37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9.140625" style="19" customWidth="1"/>
    <col min="12" max="12" width="13.8515625" style="19" customWidth="1"/>
    <col min="13" max="16" width="9.140625" style="19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121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16" s="97" customFormat="1" ht="15">
      <c r="A12" s="40" t="s">
        <v>68</v>
      </c>
      <c r="B12" s="8">
        <f>+G12*0.3</f>
        <v>42850781.699999996</v>
      </c>
      <c r="C12" s="8">
        <f>+G12*0.7</f>
        <v>99985157.3</v>
      </c>
      <c r="D12" s="8"/>
      <c r="E12" s="8"/>
      <c r="F12" s="8"/>
      <c r="G12" s="81">
        <v>142835939</v>
      </c>
      <c r="H12" s="82"/>
      <c r="I12" s="80"/>
      <c r="K12" s="117"/>
      <c r="L12" s="117"/>
      <c r="M12" s="117"/>
      <c r="N12" s="117"/>
      <c r="O12" s="117"/>
      <c r="P12" s="117"/>
    </row>
    <row r="13" spans="1:9" ht="15">
      <c r="A13" s="40" t="s">
        <v>16</v>
      </c>
      <c r="B13" s="8"/>
      <c r="C13" s="8">
        <f>59847712.49+85836272.03</f>
        <v>145683984.52</v>
      </c>
      <c r="D13" s="8"/>
      <c r="E13" s="8"/>
      <c r="F13" s="8"/>
      <c r="G13" s="81">
        <f>+C13</f>
        <v>145683984.52</v>
      </c>
      <c r="H13" s="82"/>
      <c r="I13" s="80"/>
    </row>
    <row r="14" spans="1:9" ht="15">
      <c r="A14" s="41" t="s">
        <v>17</v>
      </c>
      <c r="B14" s="189">
        <v>191235688.61</v>
      </c>
      <c r="C14" s="189"/>
      <c r="D14" s="10"/>
      <c r="E14" s="83"/>
      <c r="F14" s="83"/>
      <c r="G14" s="192">
        <f>+B14</f>
        <v>191235688.61</v>
      </c>
      <c r="H14" s="82"/>
      <c r="I14" s="80"/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20</v>
      </c>
      <c r="B17" s="191"/>
      <c r="C17" s="191"/>
      <c r="D17" s="84"/>
      <c r="E17" s="84"/>
      <c r="F17" s="84"/>
      <c r="G17" s="194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16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  <c r="M19" s="17"/>
      <c r="N19" s="17"/>
      <c r="O19" s="17"/>
      <c r="P19" s="17"/>
    </row>
    <row r="20" spans="1:11" ht="15">
      <c r="A20" s="39" t="s">
        <v>23</v>
      </c>
      <c r="B20" s="86">
        <f>SUM(B12:B19)</f>
        <v>234086470.31</v>
      </c>
      <c r="C20" s="86">
        <f>SUM(C12:C19)</f>
        <v>245669141.82</v>
      </c>
      <c r="D20" s="8"/>
      <c r="E20" s="8"/>
      <c r="F20" s="8"/>
      <c r="G20" s="81">
        <f>SUM(B20:F20)</f>
        <v>479755612.13</v>
      </c>
      <c r="H20" s="82"/>
      <c r="I20" s="80"/>
      <c r="K20" s="19" t="s">
        <v>118</v>
      </c>
    </row>
    <row r="21" spans="1:12" ht="15">
      <c r="A21" s="39" t="s">
        <v>24</v>
      </c>
      <c r="B21" s="8"/>
      <c r="C21" s="8"/>
      <c r="D21" s="8"/>
      <c r="E21" s="8"/>
      <c r="F21" s="8"/>
      <c r="G21" s="81"/>
      <c r="H21" s="82"/>
      <c r="I21" s="80"/>
      <c r="K21" s="118" t="s">
        <v>117</v>
      </c>
      <c r="L21" s="19">
        <v>894650</v>
      </c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11" ht="15">
      <c r="A23" s="40" t="s">
        <v>26</v>
      </c>
      <c r="B23" s="8"/>
      <c r="C23" s="8"/>
      <c r="D23" s="8"/>
      <c r="E23" s="8"/>
      <c r="F23" s="8"/>
      <c r="G23" s="81"/>
      <c r="H23" s="82"/>
      <c r="I23" s="80"/>
      <c r="K23" s="19" t="s">
        <v>115</v>
      </c>
    </row>
    <row r="24" spans="1:12" ht="15">
      <c r="A24" s="40" t="s">
        <v>27</v>
      </c>
      <c r="B24" s="8"/>
      <c r="C24" s="8"/>
      <c r="D24" s="8"/>
      <c r="E24" s="8"/>
      <c r="F24" s="8"/>
      <c r="G24" s="81"/>
      <c r="H24" s="82"/>
      <c r="I24" s="80"/>
      <c r="K24" s="118" t="s">
        <v>114</v>
      </c>
      <c r="L24" s="19">
        <v>2699170</v>
      </c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f>84130+52465+71760+179880+224700+134820+50420+7360+50565+104790+29900+79840+74900</f>
        <v>1145530</v>
      </c>
      <c r="D27" s="8"/>
      <c r="E27" s="8"/>
      <c r="F27" s="8"/>
      <c r="G27" s="81"/>
      <c r="H27" s="82"/>
      <c r="I27" s="80"/>
    </row>
    <row r="28" spans="1:9" ht="15">
      <c r="A28" s="40" t="s">
        <v>110</v>
      </c>
      <c r="B28" s="8"/>
      <c r="C28" s="8">
        <v>9680</v>
      </c>
      <c r="D28" s="8"/>
      <c r="E28" s="8"/>
      <c r="F28" s="8"/>
      <c r="G28" s="81"/>
      <c r="H28" s="82"/>
      <c r="I28" s="80"/>
    </row>
    <row r="29" spans="1:9" ht="15">
      <c r="A29" s="40" t="s">
        <v>81</v>
      </c>
      <c r="B29" s="8"/>
      <c r="C29" s="8">
        <f>12549.54+4183.18+4183.18+4221.37+4603.57+4225.18+4183.18+4183.18+45252</f>
        <v>87584.38</v>
      </c>
      <c r="D29" s="8"/>
      <c r="E29" s="8"/>
      <c r="F29" s="8"/>
      <c r="G29" s="81"/>
      <c r="H29" s="82"/>
      <c r="I29" s="80"/>
    </row>
    <row r="30" spans="1:11" ht="15">
      <c r="A30" s="40" t="s">
        <v>89</v>
      </c>
      <c r="B30" s="8"/>
      <c r="C30" s="8"/>
      <c r="D30" s="8"/>
      <c r="E30" s="8"/>
      <c r="F30" s="8"/>
      <c r="G30" s="81"/>
      <c r="H30" s="82"/>
      <c r="I30" s="80"/>
      <c r="K30" s="19" t="s">
        <v>113</v>
      </c>
    </row>
    <row r="31" spans="1:12" ht="15">
      <c r="A31" s="40" t="s">
        <v>90</v>
      </c>
      <c r="B31" s="8"/>
      <c r="C31" s="8"/>
      <c r="D31" s="8"/>
      <c r="E31" s="8"/>
      <c r="F31" s="8"/>
      <c r="G31" s="81"/>
      <c r="H31" s="82"/>
      <c r="I31" s="80"/>
      <c r="K31" s="118" t="s">
        <v>114</v>
      </c>
      <c r="L31" s="19">
        <f>4141.52+42853.8</f>
        <v>46995.32000000001</v>
      </c>
    </row>
    <row r="32" spans="1:9" ht="15">
      <c r="A32" s="40" t="s">
        <v>91</v>
      </c>
      <c r="B32" s="8"/>
      <c r="C32" s="8"/>
      <c r="D32" s="8"/>
      <c r="E32" s="8"/>
      <c r="F32" s="8"/>
      <c r="G32" s="81"/>
      <c r="H32" s="82"/>
      <c r="I32" s="80"/>
    </row>
    <row r="33" spans="1:9" ht="15">
      <c r="A33" s="40" t="s">
        <v>107</v>
      </c>
      <c r="B33" s="8"/>
      <c r="C33" s="8">
        <v>410967.69</v>
      </c>
      <c r="D33" s="8"/>
      <c r="E33" s="8"/>
      <c r="F33" s="8"/>
      <c r="G33" s="81"/>
      <c r="H33" s="82"/>
      <c r="I33" s="80"/>
    </row>
    <row r="34" spans="1:9" ht="15">
      <c r="A34" s="41" t="s">
        <v>122</v>
      </c>
      <c r="B34" s="8"/>
      <c r="C34" s="8">
        <v>20025.32</v>
      </c>
      <c r="D34" s="8"/>
      <c r="E34" s="8"/>
      <c r="F34" s="8"/>
      <c r="G34" s="81"/>
      <c r="H34" s="82"/>
      <c r="I34" s="80"/>
    </row>
    <row r="35" spans="1:9" ht="15" customHeight="1">
      <c r="A35" s="41" t="s">
        <v>102</v>
      </c>
      <c r="B35" s="8"/>
      <c r="C35" s="8">
        <v>445000</v>
      </c>
      <c r="D35" s="8"/>
      <c r="E35" s="8"/>
      <c r="F35" s="8"/>
      <c r="G35" s="81"/>
      <c r="H35" s="82"/>
      <c r="I35" s="80"/>
    </row>
    <row r="36" spans="1:9" ht="15" customHeight="1">
      <c r="A36" s="40" t="s">
        <v>92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2" t="s">
        <v>31</v>
      </c>
      <c r="B37" s="8"/>
      <c r="C37" s="8"/>
      <c r="D37" s="8"/>
      <c r="E37" s="8"/>
      <c r="F37" s="8"/>
      <c r="G37" s="81"/>
      <c r="H37" s="82"/>
      <c r="I37" s="80"/>
    </row>
    <row r="38" spans="1:9" ht="15">
      <c r="A38" s="40" t="s">
        <v>32</v>
      </c>
      <c r="B38" s="8"/>
      <c r="C38" s="8"/>
      <c r="D38" s="8"/>
      <c r="E38" s="8"/>
      <c r="F38" s="8"/>
      <c r="G38" s="81"/>
      <c r="H38" s="82"/>
      <c r="I38" s="80"/>
    </row>
    <row r="39" spans="1:9" ht="15">
      <c r="A39" s="40" t="s">
        <v>97</v>
      </c>
      <c r="B39" s="8"/>
      <c r="C39" s="8">
        <v>990000</v>
      </c>
      <c r="D39" s="8"/>
      <c r="E39" s="8"/>
      <c r="F39" s="8"/>
      <c r="G39" s="81"/>
      <c r="H39" s="82"/>
      <c r="I39" s="80"/>
    </row>
    <row r="40" spans="1:9" ht="15">
      <c r="A40" s="40" t="s">
        <v>96</v>
      </c>
      <c r="B40" s="128"/>
      <c r="C40" s="128">
        <v>1993509</v>
      </c>
      <c r="D40" s="128"/>
      <c r="E40" s="128"/>
      <c r="F40" s="128"/>
      <c r="G40" s="129"/>
      <c r="H40" s="82"/>
      <c r="I40" s="80"/>
    </row>
    <row r="41" spans="1:9" ht="15">
      <c r="A41" s="216" t="s">
        <v>106</v>
      </c>
      <c r="B41" s="204"/>
      <c r="C41" s="189">
        <v>1177462.53</v>
      </c>
      <c r="D41" s="204"/>
      <c r="E41" s="204"/>
      <c r="F41" s="204"/>
      <c r="G41" s="206"/>
      <c r="H41" s="82"/>
      <c r="I41" s="80"/>
    </row>
    <row r="42" spans="1:9" ht="15">
      <c r="A42" s="217"/>
      <c r="B42" s="205"/>
      <c r="C42" s="191"/>
      <c r="D42" s="205"/>
      <c r="E42" s="205"/>
      <c r="F42" s="205"/>
      <c r="G42" s="207"/>
      <c r="H42" s="82"/>
      <c r="I42" s="80"/>
    </row>
    <row r="43" spans="1:9" ht="15">
      <c r="A43" s="130" t="s">
        <v>111</v>
      </c>
      <c r="B43" s="128"/>
      <c r="C43" s="127">
        <v>6732000</v>
      </c>
      <c r="D43" s="128"/>
      <c r="E43" s="128"/>
      <c r="F43" s="128"/>
      <c r="G43" s="129"/>
      <c r="H43" s="82"/>
      <c r="I43" s="80"/>
    </row>
    <row r="44" spans="1:9" ht="15">
      <c r="A44" s="130" t="s">
        <v>123</v>
      </c>
      <c r="B44" s="128"/>
      <c r="C44" s="127">
        <v>2258380</v>
      </c>
      <c r="D44" s="128"/>
      <c r="E44" s="128"/>
      <c r="F44" s="128"/>
      <c r="G44" s="129"/>
      <c r="H44" s="82"/>
      <c r="I44" s="80"/>
    </row>
    <row r="45" spans="1:9" ht="15">
      <c r="A45" s="130" t="s">
        <v>124</v>
      </c>
      <c r="B45" s="127"/>
      <c r="C45" s="127">
        <v>4171800</v>
      </c>
      <c r="D45" s="128"/>
      <c r="E45" s="128"/>
      <c r="F45" s="128"/>
      <c r="G45" s="129"/>
      <c r="H45" s="82"/>
      <c r="I45" s="80"/>
    </row>
    <row r="46" spans="1:9" ht="15">
      <c r="A46" s="40" t="s">
        <v>34</v>
      </c>
      <c r="B46" s="8"/>
      <c r="C46" s="8"/>
      <c r="D46" s="8"/>
      <c r="E46" s="8"/>
      <c r="F46" s="8"/>
      <c r="G46" s="81"/>
      <c r="H46" s="82"/>
      <c r="I46" s="80"/>
    </row>
    <row r="47" spans="1:9" ht="15">
      <c r="A47" s="39" t="s">
        <v>35</v>
      </c>
      <c r="B47" s="86">
        <f>+SUM(B21:B46)</f>
        <v>0</v>
      </c>
      <c r="C47" s="86">
        <f>+SUM(C21:C46)</f>
        <v>19441938.92</v>
      </c>
      <c r="D47" s="8"/>
      <c r="E47" s="8"/>
      <c r="F47" s="8"/>
      <c r="G47" s="89"/>
      <c r="H47" s="82"/>
      <c r="I47" s="80"/>
    </row>
    <row r="48" spans="1:9" ht="15.75" thickBot="1">
      <c r="A48" s="44" t="s">
        <v>36</v>
      </c>
      <c r="B48" s="90">
        <f>+B20-B47</f>
        <v>234086470.31</v>
      </c>
      <c r="C48" s="90">
        <f>+C20-C47</f>
        <v>226227202.89999998</v>
      </c>
      <c r="D48" s="91"/>
      <c r="E48" s="91"/>
      <c r="F48" s="91"/>
      <c r="G48" s="92">
        <f>+G20</f>
        <v>479755612.13</v>
      </c>
      <c r="H48" s="82"/>
      <c r="I48" s="80"/>
    </row>
    <row r="49" spans="1:9" ht="15">
      <c r="A49" s="20"/>
      <c r="B49" s="21"/>
      <c r="C49" s="21"/>
      <c r="D49" s="7"/>
      <c r="E49" s="7"/>
      <c r="F49" s="7"/>
      <c r="G49" s="21"/>
      <c r="H49" s="7"/>
      <c r="I49" s="22"/>
    </row>
    <row r="50" spans="1:9" ht="15">
      <c r="A50" s="23" t="s">
        <v>95</v>
      </c>
      <c r="B50" s="21"/>
      <c r="C50" s="21"/>
      <c r="D50" s="7"/>
      <c r="E50" s="7"/>
      <c r="F50" s="7"/>
      <c r="G50" s="21"/>
      <c r="H50" s="7"/>
      <c r="I50" s="22"/>
    </row>
    <row r="51" spans="3:7" ht="15">
      <c r="C51" s="24" t="s">
        <v>37</v>
      </c>
      <c r="D51" s="24"/>
      <c r="E51" s="24"/>
      <c r="F51" s="24"/>
      <c r="G51" s="24"/>
    </row>
    <row r="52" spans="3:7" ht="15">
      <c r="C52" s="24" t="s">
        <v>38</v>
      </c>
      <c r="D52" s="24"/>
      <c r="E52" s="24"/>
      <c r="F52" s="24"/>
      <c r="G52" s="24"/>
    </row>
    <row r="53" ht="14.25" customHeight="1"/>
    <row r="54" ht="14.25" customHeight="1">
      <c r="C54" s="4"/>
    </row>
    <row r="55" ht="14.25" customHeight="1">
      <c r="C55" s="4"/>
    </row>
    <row r="56" spans="2:9" ht="15" customHeight="1">
      <c r="B56" s="22"/>
      <c r="C56" s="110"/>
      <c r="F56" s="196" t="s">
        <v>70</v>
      </c>
      <c r="G56" s="195"/>
      <c r="H56" s="26"/>
      <c r="I56" s="26"/>
    </row>
    <row r="57" spans="2:9" ht="15" customHeight="1">
      <c r="B57" s="111"/>
      <c r="C57" s="111"/>
      <c r="F57" s="197" t="s">
        <v>71</v>
      </c>
      <c r="G57" s="187"/>
      <c r="H57" s="27"/>
      <c r="I57" s="27"/>
    </row>
    <row r="58" spans="2:9" ht="15" customHeight="1">
      <c r="B58" s="111"/>
      <c r="C58" s="112"/>
      <c r="F58" s="187" t="s">
        <v>43</v>
      </c>
      <c r="G58" s="187"/>
      <c r="H58" s="27"/>
      <c r="I58" s="27"/>
    </row>
    <row r="59" spans="1:9" s="19" customFormat="1" ht="15">
      <c r="A59"/>
      <c r="B59"/>
      <c r="C59"/>
      <c r="D59"/>
      <c r="E59"/>
      <c r="F59"/>
      <c r="G59"/>
      <c r="H59"/>
      <c r="I59"/>
    </row>
    <row r="60" ht="15">
      <c r="C60" s="19"/>
    </row>
    <row r="61" spans="1:9" s="19" customFormat="1" ht="15">
      <c r="A61"/>
      <c r="B61"/>
      <c r="D61"/>
      <c r="E61"/>
      <c r="F61"/>
      <c r="G61"/>
      <c r="H61"/>
      <c r="I61"/>
    </row>
    <row r="62" spans="1:9" s="19" customFormat="1" ht="15">
      <c r="A62"/>
      <c r="B62"/>
      <c r="C62" s="4">
        <v>12598120.24</v>
      </c>
      <c r="D62"/>
      <c r="E62"/>
      <c r="F62"/>
      <c r="G62"/>
      <c r="H62"/>
      <c r="I62"/>
    </row>
    <row r="63" ht="15">
      <c r="C63">
        <v>7096318.68</v>
      </c>
    </row>
    <row r="64" ht="15">
      <c r="C64" s="4">
        <f>+C62+C63</f>
        <v>19694438.92</v>
      </c>
    </row>
    <row r="65" ht="15">
      <c r="C65" s="4">
        <f>+C47</f>
        <v>19441938.92</v>
      </c>
    </row>
    <row r="66" ht="15">
      <c r="C66" s="4">
        <f>+C64-C65</f>
        <v>252500</v>
      </c>
    </row>
  </sheetData>
  <sheetProtection/>
  <mergeCells count="23">
    <mergeCell ref="F56:G56"/>
    <mergeCell ref="F57:G57"/>
    <mergeCell ref="F58:G58"/>
    <mergeCell ref="B14:B17"/>
    <mergeCell ref="C14:C17"/>
    <mergeCell ref="G14:G17"/>
    <mergeCell ref="F41:F42"/>
    <mergeCell ref="G41:G42"/>
    <mergeCell ref="A41:A42"/>
    <mergeCell ref="B41:B42"/>
    <mergeCell ref="C41:C42"/>
    <mergeCell ref="D41:D42"/>
    <mergeCell ref="E41:E42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1" fitToWidth="1" horizontalDpi="360" verticalDpi="360" orientation="portrait" paperSize="9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="90" zoomScaleNormal="90" zoomScalePageLayoutView="0" workbookViewId="0" topLeftCell="A1">
      <pane ySplit="10" topLeftCell="A36" activePane="bottomLeft" state="frozen"/>
      <selection pane="topLeft" activeCell="A1" sqref="A1"/>
      <selection pane="bottomLeft" activeCell="C52" sqref="C52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9.140625" style="19" customWidth="1"/>
    <col min="12" max="12" width="13.8515625" style="19" customWidth="1"/>
    <col min="13" max="16" width="9.140625" style="19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125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16" s="97" customFormat="1" ht="15">
      <c r="A12" s="40" t="s">
        <v>68</v>
      </c>
      <c r="B12" s="8">
        <f>+G12*0.3</f>
        <v>42850781.699999996</v>
      </c>
      <c r="C12" s="8">
        <f>+G12*0.7</f>
        <v>99985157.3</v>
      </c>
      <c r="D12" s="8"/>
      <c r="E12" s="8"/>
      <c r="F12" s="8"/>
      <c r="G12" s="81">
        <v>142835939</v>
      </c>
      <c r="H12" s="82"/>
      <c r="I12" s="80"/>
      <c r="K12" s="117"/>
      <c r="L12" s="117"/>
      <c r="M12" s="117"/>
      <c r="N12" s="117"/>
      <c r="O12" s="117"/>
      <c r="P12" s="117"/>
    </row>
    <row r="13" spans="1:9" ht="15">
      <c r="A13" s="40" t="s">
        <v>16</v>
      </c>
      <c r="B13" s="8"/>
      <c r="C13" s="8">
        <f>59847712.49+85836272.03</f>
        <v>145683984.52</v>
      </c>
      <c r="D13" s="8"/>
      <c r="E13" s="8"/>
      <c r="F13" s="8"/>
      <c r="G13" s="81">
        <f>+C13</f>
        <v>145683984.52</v>
      </c>
      <c r="H13" s="82"/>
      <c r="I13" s="80"/>
    </row>
    <row r="14" spans="1:9" ht="15">
      <c r="A14" s="41" t="s">
        <v>17</v>
      </c>
      <c r="B14" s="189">
        <v>191235688.61</v>
      </c>
      <c r="C14" s="189"/>
      <c r="D14" s="10"/>
      <c r="E14" s="83"/>
      <c r="F14" s="83"/>
      <c r="G14" s="192">
        <f>+B14</f>
        <v>191235688.61</v>
      </c>
      <c r="H14" s="82"/>
      <c r="I14" s="80"/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20</v>
      </c>
      <c r="B17" s="191"/>
      <c r="C17" s="191"/>
      <c r="D17" s="84"/>
      <c r="E17" s="84"/>
      <c r="F17" s="84"/>
      <c r="G17" s="194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16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  <c r="M19" s="17"/>
      <c r="N19" s="17"/>
      <c r="O19" s="17"/>
      <c r="P19" s="17"/>
    </row>
    <row r="20" spans="1:11" ht="15">
      <c r="A20" s="39" t="s">
        <v>23</v>
      </c>
      <c r="B20" s="86">
        <f>SUM(B12:B19)</f>
        <v>234086470.31</v>
      </c>
      <c r="C20" s="86">
        <f>SUM(C12:C19)</f>
        <v>245669141.82</v>
      </c>
      <c r="D20" s="8"/>
      <c r="E20" s="8"/>
      <c r="F20" s="8"/>
      <c r="G20" s="81">
        <f>SUM(B20:F20)</f>
        <v>479755612.13</v>
      </c>
      <c r="H20" s="82"/>
      <c r="I20" s="80"/>
      <c r="K20" s="19" t="s">
        <v>118</v>
      </c>
    </row>
    <row r="21" spans="1:12" ht="15">
      <c r="A21" s="39" t="s">
        <v>24</v>
      </c>
      <c r="B21" s="8"/>
      <c r="C21" s="8"/>
      <c r="D21" s="8"/>
      <c r="E21" s="8"/>
      <c r="F21" s="8"/>
      <c r="G21" s="81"/>
      <c r="H21" s="82"/>
      <c r="I21" s="80"/>
      <c r="K21" s="118" t="s">
        <v>117</v>
      </c>
      <c r="L21" s="19">
        <v>894650</v>
      </c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11" ht="15">
      <c r="A23" s="40" t="s">
        <v>26</v>
      </c>
      <c r="B23" s="8"/>
      <c r="C23" s="8"/>
      <c r="D23" s="8"/>
      <c r="E23" s="8"/>
      <c r="F23" s="8"/>
      <c r="G23" s="81"/>
      <c r="H23" s="82"/>
      <c r="I23" s="80"/>
      <c r="K23" s="19" t="s">
        <v>115</v>
      </c>
    </row>
    <row r="24" spans="1:12" ht="15">
      <c r="A24" s="40" t="s">
        <v>27</v>
      </c>
      <c r="B24" s="8"/>
      <c r="C24" s="8"/>
      <c r="D24" s="8"/>
      <c r="E24" s="8"/>
      <c r="F24" s="8"/>
      <c r="G24" s="81"/>
      <c r="H24" s="82"/>
      <c r="I24" s="80"/>
      <c r="K24" s="118" t="s">
        <v>114</v>
      </c>
      <c r="L24" s="19">
        <v>2699170</v>
      </c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16382.99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v>4462530.43</v>
      </c>
      <c r="D27" s="8"/>
      <c r="E27" s="8"/>
      <c r="F27" s="8"/>
      <c r="G27" s="81"/>
      <c r="H27" s="82"/>
      <c r="I27" s="80"/>
    </row>
    <row r="28" spans="1:9" ht="15">
      <c r="A28" s="40" t="s">
        <v>110</v>
      </c>
      <c r="B28" s="8"/>
      <c r="C28" s="8">
        <v>9680</v>
      </c>
      <c r="D28" s="8"/>
      <c r="E28" s="8"/>
      <c r="F28" s="8"/>
      <c r="G28" s="81"/>
      <c r="H28" s="82"/>
      <c r="I28" s="80"/>
    </row>
    <row r="29" spans="1:9" ht="15">
      <c r="A29" s="40" t="s">
        <v>81</v>
      </c>
      <c r="B29" s="8"/>
      <c r="C29" s="8">
        <v>95814.06</v>
      </c>
      <c r="D29" s="8"/>
      <c r="E29" s="8"/>
      <c r="F29" s="8"/>
      <c r="G29" s="81"/>
      <c r="H29" s="82"/>
      <c r="I29" s="80"/>
    </row>
    <row r="30" spans="1:11" ht="15">
      <c r="A30" s="40" t="s">
        <v>89</v>
      </c>
      <c r="B30" s="8"/>
      <c r="C30" s="8">
        <v>224902.48</v>
      </c>
      <c r="D30" s="8"/>
      <c r="E30" s="8"/>
      <c r="F30" s="8"/>
      <c r="G30" s="81"/>
      <c r="H30" s="82"/>
      <c r="I30" s="80"/>
      <c r="K30" s="19" t="s">
        <v>113</v>
      </c>
    </row>
    <row r="31" spans="1:9" ht="15">
      <c r="A31" s="40" t="s">
        <v>128</v>
      </c>
      <c r="B31" s="8"/>
      <c r="C31" s="8">
        <v>2698980</v>
      </c>
      <c r="D31" s="8"/>
      <c r="E31" s="8"/>
      <c r="F31" s="8"/>
      <c r="G31" s="81"/>
      <c r="H31" s="82"/>
      <c r="I31" s="80"/>
    </row>
    <row r="32" spans="1:9" ht="15">
      <c r="A32" s="40" t="s">
        <v>129</v>
      </c>
      <c r="B32" s="8"/>
      <c r="C32" s="8">
        <v>9000</v>
      </c>
      <c r="D32" s="8"/>
      <c r="E32" s="8"/>
      <c r="F32" s="8"/>
      <c r="G32" s="81"/>
      <c r="H32" s="82"/>
      <c r="I32" s="80"/>
    </row>
    <row r="33" spans="1:12" ht="15">
      <c r="A33" s="40" t="s">
        <v>90</v>
      </c>
      <c r="B33" s="8"/>
      <c r="C33" s="8">
        <v>1792186</v>
      </c>
      <c r="D33" s="8"/>
      <c r="E33" s="8"/>
      <c r="F33" s="8"/>
      <c r="G33" s="81"/>
      <c r="H33" s="82"/>
      <c r="I33" s="80"/>
      <c r="K33" s="118" t="s">
        <v>114</v>
      </c>
      <c r="L33" s="19">
        <f>4141.52+42853.8</f>
        <v>46995.32000000001</v>
      </c>
    </row>
    <row r="34" spans="1:9" ht="15">
      <c r="A34" s="40" t="s">
        <v>91</v>
      </c>
      <c r="B34" s="8"/>
      <c r="C34" s="8">
        <v>592000</v>
      </c>
      <c r="D34" s="8"/>
      <c r="E34" s="8"/>
      <c r="F34" s="8"/>
      <c r="G34" s="81"/>
      <c r="H34" s="82"/>
      <c r="I34" s="80"/>
    </row>
    <row r="35" spans="1:9" ht="15">
      <c r="A35" s="40" t="s">
        <v>122</v>
      </c>
      <c r="B35" s="8"/>
      <c r="C35" s="8">
        <v>335831.37</v>
      </c>
      <c r="D35" s="8"/>
      <c r="E35" s="8"/>
      <c r="F35" s="8"/>
      <c r="G35" s="81"/>
      <c r="H35" s="82"/>
      <c r="I35" s="80"/>
    </row>
    <row r="36" spans="1:9" ht="15">
      <c r="A36" s="40" t="s">
        <v>130</v>
      </c>
      <c r="B36" s="8"/>
      <c r="C36" s="8">
        <v>27395.9</v>
      </c>
      <c r="D36" s="8"/>
      <c r="E36" s="8"/>
      <c r="F36" s="8"/>
      <c r="G36" s="81"/>
      <c r="H36" s="82"/>
      <c r="I36" s="80"/>
    </row>
    <row r="37" spans="1:9" ht="15">
      <c r="A37" s="40" t="s">
        <v>131</v>
      </c>
      <c r="B37" s="8"/>
      <c r="C37" s="8">
        <v>632196</v>
      </c>
      <c r="D37" s="8"/>
      <c r="E37" s="8"/>
      <c r="F37" s="8"/>
      <c r="G37" s="81"/>
      <c r="H37" s="82"/>
      <c r="I37" s="80"/>
    </row>
    <row r="38" spans="1:9" ht="15" customHeight="1">
      <c r="A38" s="40" t="s">
        <v>132</v>
      </c>
      <c r="B38" s="8"/>
      <c r="C38" s="8">
        <v>1584000</v>
      </c>
      <c r="D38" s="8"/>
      <c r="E38" s="8"/>
      <c r="F38" s="8"/>
      <c r="G38" s="81"/>
      <c r="H38" s="82"/>
      <c r="I38" s="80"/>
    </row>
    <row r="39" spans="1:9" ht="15" customHeight="1">
      <c r="A39" s="40" t="s">
        <v>133</v>
      </c>
      <c r="B39" s="8"/>
      <c r="C39" s="8">
        <v>5794555.56</v>
      </c>
      <c r="D39" s="8"/>
      <c r="E39" s="8"/>
      <c r="F39" s="8"/>
      <c r="G39" s="81"/>
      <c r="H39" s="82"/>
      <c r="I39" s="80"/>
    </row>
    <row r="40" spans="1:9" ht="15">
      <c r="A40" s="40" t="s">
        <v>31</v>
      </c>
      <c r="B40" s="8"/>
      <c r="C40" s="8"/>
      <c r="D40" s="8"/>
      <c r="E40" s="8"/>
      <c r="F40" s="8"/>
      <c r="G40" s="81"/>
      <c r="H40" s="82"/>
      <c r="I40" s="80"/>
    </row>
    <row r="41" spans="1:9" ht="15">
      <c r="A41" s="40" t="s">
        <v>126</v>
      </c>
      <c r="B41" s="8"/>
      <c r="C41" s="8">
        <v>6913730</v>
      </c>
      <c r="D41" s="8"/>
      <c r="E41" s="8"/>
      <c r="F41" s="8"/>
      <c r="G41" s="81"/>
      <c r="H41" s="82"/>
      <c r="I41" s="80"/>
    </row>
    <row r="42" spans="1:9" ht="15">
      <c r="A42" s="40" t="s">
        <v>32</v>
      </c>
      <c r="B42" s="8"/>
      <c r="C42" s="8"/>
      <c r="D42" s="8"/>
      <c r="E42" s="8"/>
      <c r="F42" s="8"/>
      <c r="G42" s="81"/>
      <c r="H42" s="82"/>
      <c r="I42" s="80"/>
    </row>
    <row r="43" spans="1:9" ht="15">
      <c r="A43" s="40" t="s">
        <v>97</v>
      </c>
      <c r="B43" s="8"/>
      <c r="C43" s="8">
        <v>990000</v>
      </c>
      <c r="D43" s="8"/>
      <c r="E43" s="8"/>
      <c r="F43" s="8"/>
      <c r="G43" s="81"/>
      <c r="H43" s="82"/>
      <c r="I43" s="80"/>
    </row>
    <row r="44" spans="1:9" ht="15">
      <c r="A44" s="40" t="s">
        <v>96</v>
      </c>
      <c r="B44" s="128"/>
      <c r="C44" s="132">
        <v>1993509</v>
      </c>
      <c r="D44" s="128"/>
      <c r="E44" s="128"/>
      <c r="F44" s="128"/>
      <c r="G44" s="129"/>
      <c r="H44" s="82"/>
      <c r="I44" s="80"/>
    </row>
    <row r="45" spans="1:9" ht="15">
      <c r="A45" s="216" t="s">
        <v>106</v>
      </c>
      <c r="B45" s="204"/>
      <c r="C45" s="189">
        <v>1177462.53</v>
      </c>
      <c r="D45" s="204"/>
      <c r="E45" s="204"/>
      <c r="F45" s="204"/>
      <c r="G45" s="206"/>
      <c r="H45" s="82"/>
      <c r="I45" s="80"/>
    </row>
    <row r="46" spans="1:9" ht="15">
      <c r="A46" s="217"/>
      <c r="B46" s="205"/>
      <c r="C46" s="191"/>
      <c r="D46" s="205"/>
      <c r="E46" s="205"/>
      <c r="F46" s="205"/>
      <c r="G46" s="207"/>
      <c r="H46" s="82"/>
      <c r="I46" s="80"/>
    </row>
    <row r="47" spans="1:9" ht="15">
      <c r="A47" s="130" t="s">
        <v>111</v>
      </c>
      <c r="B47" s="128"/>
      <c r="C47" s="131">
        <v>6732000</v>
      </c>
      <c r="D47" s="128"/>
      <c r="E47" s="128"/>
      <c r="F47" s="128"/>
      <c r="G47" s="129"/>
      <c r="H47" s="82"/>
      <c r="I47" s="80"/>
    </row>
    <row r="48" spans="1:9" ht="15">
      <c r="A48" s="130" t="s">
        <v>123</v>
      </c>
      <c r="B48" s="128"/>
      <c r="C48" s="131">
        <v>2258380</v>
      </c>
      <c r="D48" s="128"/>
      <c r="E48" s="128"/>
      <c r="F48" s="128"/>
      <c r="G48" s="129"/>
      <c r="H48" s="82"/>
      <c r="I48" s="80"/>
    </row>
    <row r="49" spans="1:9" ht="15">
      <c r="A49" s="130" t="s">
        <v>124</v>
      </c>
      <c r="B49" s="127"/>
      <c r="C49" s="131">
        <v>4171800</v>
      </c>
      <c r="D49" s="128"/>
      <c r="E49" s="128"/>
      <c r="F49" s="128"/>
      <c r="G49" s="129"/>
      <c r="H49" s="82"/>
      <c r="I49" s="80"/>
    </row>
    <row r="50" spans="1:9" ht="15">
      <c r="A50" s="134" t="s">
        <v>127</v>
      </c>
      <c r="B50" s="131"/>
      <c r="C50" s="131">
        <v>5990000</v>
      </c>
      <c r="D50" s="132"/>
      <c r="E50" s="132"/>
      <c r="F50" s="132"/>
      <c r="G50" s="133"/>
      <c r="H50" s="82"/>
      <c r="I50" s="80"/>
    </row>
    <row r="51" spans="1:9" ht="15">
      <c r="A51" s="39" t="s">
        <v>35</v>
      </c>
      <c r="B51" s="86">
        <f>+SUM(B21:B49)</f>
        <v>0</v>
      </c>
      <c r="C51" s="86">
        <f>+SUM(C21:C50)</f>
        <v>48502336.32</v>
      </c>
      <c r="D51" s="8"/>
      <c r="E51" s="8"/>
      <c r="F51" s="8"/>
      <c r="G51" s="89"/>
      <c r="H51" s="82"/>
      <c r="I51" s="80"/>
    </row>
    <row r="52" spans="1:9" ht="15.75" thickBot="1">
      <c r="A52" s="44" t="s">
        <v>36</v>
      </c>
      <c r="B52" s="90">
        <f>+B20-B51</f>
        <v>234086470.31</v>
      </c>
      <c r="C52" s="90">
        <f>+C20-C51</f>
        <v>197166805.5</v>
      </c>
      <c r="D52" s="91"/>
      <c r="E52" s="91"/>
      <c r="F52" s="91"/>
      <c r="G52" s="92">
        <f>+G20</f>
        <v>479755612.13</v>
      </c>
      <c r="H52" s="82"/>
      <c r="I52" s="80"/>
    </row>
    <row r="53" spans="1:9" ht="15">
      <c r="A53" s="20"/>
      <c r="B53" s="21"/>
      <c r="C53" s="21"/>
      <c r="D53" s="7"/>
      <c r="E53" s="7"/>
      <c r="F53" s="7"/>
      <c r="G53" s="21"/>
      <c r="H53" s="7"/>
      <c r="I53" s="22"/>
    </row>
    <row r="54" spans="1:9" ht="15">
      <c r="A54" s="23" t="s">
        <v>95</v>
      </c>
      <c r="B54" s="21"/>
      <c r="C54" s="21"/>
      <c r="D54" s="7"/>
      <c r="E54" s="7"/>
      <c r="F54" s="7"/>
      <c r="G54" s="21"/>
      <c r="H54" s="7"/>
      <c r="I54" s="22"/>
    </row>
    <row r="55" spans="3:7" ht="15">
      <c r="C55" s="24" t="s">
        <v>37</v>
      </c>
      <c r="D55" s="24"/>
      <c r="E55" s="24"/>
      <c r="F55" s="24"/>
      <c r="G55" s="24"/>
    </row>
    <row r="56" spans="3:7" ht="15">
      <c r="C56" s="24" t="s">
        <v>38</v>
      </c>
      <c r="D56" s="24"/>
      <c r="E56" s="24"/>
      <c r="F56" s="24"/>
      <c r="G56" s="24"/>
    </row>
    <row r="57" ht="14.25" customHeight="1"/>
    <row r="58" ht="14.25" customHeight="1">
      <c r="C58" s="4"/>
    </row>
    <row r="59" ht="14.25" customHeight="1">
      <c r="C59" s="4"/>
    </row>
    <row r="60" spans="2:9" ht="15" customHeight="1">
      <c r="B60" s="22"/>
      <c r="C60" s="110"/>
      <c r="F60" s="196" t="s">
        <v>70</v>
      </c>
      <c r="G60" s="195"/>
      <c r="H60" s="26"/>
      <c r="I60" s="26"/>
    </row>
    <row r="61" spans="2:9" ht="15" customHeight="1">
      <c r="B61" s="111"/>
      <c r="C61" s="112"/>
      <c r="F61" s="197" t="s">
        <v>71</v>
      </c>
      <c r="G61" s="187"/>
      <c r="H61" s="27"/>
      <c r="I61" s="27"/>
    </row>
    <row r="62" spans="2:9" ht="15" customHeight="1">
      <c r="B62" s="111"/>
      <c r="C62" s="112"/>
      <c r="F62" s="187" t="s">
        <v>43</v>
      </c>
      <c r="G62" s="187"/>
      <c r="H62" s="27"/>
      <c r="I62" s="27"/>
    </row>
    <row r="63" spans="1:9" s="19" customFormat="1" ht="15">
      <c r="A63"/>
      <c r="B63"/>
      <c r="C63" s="4"/>
      <c r="D63"/>
      <c r="E63"/>
      <c r="F63"/>
      <c r="G63"/>
      <c r="H63"/>
      <c r="I63"/>
    </row>
    <row r="64" ht="15">
      <c r="C64" s="19"/>
    </row>
    <row r="65" spans="1:9" s="19" customFormat="1" ht="15">
      <c r="A65"/>
      <c r="B65"/>
      <c r="D65"/>
      <c r="E65"/>
      <c r="F65"/>
      <c r="G65"/>
      <c r="H65"/>
      <c r="I65"/>
    </row>
    <row r="66" spans="1:9" s="19" customFormat="1" ht="15">
      <c r="A66"/>
      <c r="B66"/>
      <c r="C66" s="4"/>
      <c r="D66"/>
      <c r="E66"/>
      <c r="F66"/>
      <c r="G66"/>
      <c r="H66"/>
      <c r="I66"/>
    </row>
    <row r="68" ht="15">
      <c r="C68" s="4"/>
    </row>
    <row r="69" ht="15">
      <c r="C69" s="4"/>
    </row>
    <row r="70" ht="15">
      <c r="C70" s="4"/>
    </row>
  </sheetData>
  <sheetProtection/>
  <mergeCells count="23">
    <mergeCell ref="F60:G60"/>
    <mergeCell ref="F61:G61"/>
    <mergeCell ref="F62:G62"/>
    <mergeCell ref="B14:B17"/>
    <mergeCell ref="C14:C17"/>
    <mergeCell ref="G14:G17"/>
    <mergeCell ref="F45:F46"/>
    <mergeCell ref="G45:G46"/>
    <mergeCell ref="A45:A46"/>
    <mergeCell ref="B45:B46"/>
    <mergeCell ref="C45:C46"/>
    <mergeCell ref="D45:D46"/>
    <mergeCell ref="E45:E46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1" fitToWidth="1" horizontalDpi="360" verticalDpi="360" orientation="portrait" paperSize="9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="90" zoomScaleNormal="90" zoomScalePageLayoutView="0" workbookViewId="0" topLeftCell="A1">
      <pane ySplit="10" topLeftCell="A32" activePane="bottomLeft" state="frozen"/>
      <selection pane="topLeft" activeCell="F51" sqref="F51:G52"/>
      <selection pane="bottomLeft" activeCell="F51" sqref="F51:G52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0" max="10" width="9.140625" style="139" customWidth="1"/>
    <col min="11" max="11" width="9.140625" style="19" customWidth="1"/>
    <col min="12" max="12" width="13.8515625" style="19" customWidth="1"/>
    <col min="13" max="16" width="9.140625" style="19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125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16" s="97" customFormat="1" ht="15">
      <c r="A12" s="40" t="s">
        <v>68</v>
      </c>
      <c r="B12" s="8">
        <f>+G12*0.3</f>
        <v>42850781.699999996</v>
      </c>
      <c r="C12" s="8">
        <f>+G12*0.7</f>
        <v>99985157.3</v>
      </c>
      <c r="D12" s="8"/>
      <c r="E12" s="8"/>
      <c r="F12" s="8"/>
      <c r="G12" s="81">
        <v>142835939</v>
      </c>
      <c r="H12" s="82"/>
      <c r="I12" s="80"/>
      <c r="J12" s="146"/>
      <c r="K12" s="117"/>
      <c r="L12" s="117"/>
      <c r="M12" s="117"/>
      <c r="N12" s="117"/>
      <c r="O12" s="117"/>
      <c r="P12" s="117"/>
    </row>
    <row r="13" spans="1:9" ht="15">
      <c r="A13" s="40" t="s">
        <v>16</v>
      </c>
      <c r="B13" s="8"/>
      <c r="C13" s="8">
        <f>59847712.49+85836272.03</f>
        <v>145683984.52</v>
      </c>
      <c r="D13" s="8"/>
      <c r="E13" s="8"/>
      <c r="F13" s="8"/>
      <c r="G13" s="81">
        <f>+C13</f>
        <v>145683984.52</v>
      </c>
      <c r="H13" s="82"/>
      <c r="I13" s="80"/>
    </row>
    <row r="14" spans="1:9" ht="15">
      <c r="A14" s="41" t="s">
        <v>17</v>
      </c>
      <c r="B14" s="189">
        <v>191235688.61</v>
      </c>
      <c r="C14" s="189"/>
      <c r="D14" s="10"/>
      <c r="E14" s="83"/>
      <c r="F14" s="83"/>
      <c r="G14" s="192">
        <f>+B14</f>
        <v>191235688.61</v>
      </c>
      <c r="H14" s="82"/>
      <c r="I14" s="80"/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20</v>
      </c>
      <c r="B17" s="191"/>
      <c r="C17" s="191"/>
      <c r="D17" s="84"/>
      <c r="E17" s="84"/>
      <c r="F17" s="84"/>
      <c r="G17" s="194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16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J19" s="147"/>
      <c r="K19" s="17"/>
      <c r="L19" s="17"/>
      <c r="M19" s="17"/>
      <c r="N19" s="17"/>
      <c r="O19" s="17"/>
      <c r="P19" s="17"/>
    </row>
    <row r="20" spans="1:11" ht="15">
      <c r="A20" s="39" t="s">
        <v>23</v>
      </c>
      <c r="B20" s="86">
        <f>SUM(B12:B19)</f>
        <v>234086470.31</v>
      </c>
      <c r="C20" s="86">
        <f>SUM(C12:C19)</f>
        <v>245669141.82</v>
      </c>
      <c r="D20" s="8"/>
      <c r="E20" s="8"/>
      <c r="F20" s="8"/>
      <c r="G20" s="81">
        <f>SUM(B20:F20)</f>
        <v>479755612.13</v>
      </c>
      <c r="H20" s="82"/>
      <c r="I20" s="80"/>
      <c r="K20" s="19" t="s">
        <v>118</v>
      </c>
    </row>
    <row r="21" spans="1:12" ht="15">
      <c r="A21" s="39" t="s">
        <v>24</v>
      </c>
      <c r="B21" s="8"/>
      <c r="C21" s="8"/>
      <c r="D21" s="8"/>
      <c r="E21" s="8"/>
      <c r="F21" s="8"/>
      <c r="G21" s="81"/>
      <c r="H21" s="82"/>
      <c r="I21" s="80"/>
      <c r="K21" s="118" t="s">
        <v>117</v>
      </c>
      <c r="L21" s="19">
        <v>894650</v>
      </c>
    </row>
    <row r="22" spans="1:9" ht="15">
      <c r="A22" s="40" t="s">
        <v>25</v>
      </c>
      <c r="B22" s="8"/>
      <c r="C22" s="8">
        <v>894650</v>
      </c>
      <c r="D22" s="8"/>
      <c r="E22" s="8"/>
      <c r="F22" s="8"/>
      <c r="G22" s="81"/>
      <c r="H22" s="82"/>
      <c r="I22" s="80"/>
    </row>
    <row r="23" spans="1:11" ht="15">
      <c r="A23" s="40" t="s">
        <v>26</v>
      </c>
      <c r="B23" s="8"/>
      <c r="C23" s="8">
        <v>2699170</v>
      </c>
      <c r="D23" s="8"/>
      <c r="E23" s="8"/>
      <c r="F23" s="8"/>
      <c r="G23" s="81"/>
      <c r="H23" s="82"/>
      <c r="I23" s="80"/>
      <c r="K23" s="19" t="s">
        <v>115</v>
      </c>
    </row>
    <row r="24" spans="1:12" ht="15">
      <c r="A24" s="40" t="s">
        <v>27</v>
      </c>
      <c r="B24" s="8"/>
      <c r="C24" s="8"/>
      <c r="D24" s="8"/>
      <c r="E24" s="8"/>
      <c r="F24" s="8"/>
      <c r="G24" s="81"/>
      <c r="H24" s="82"/>
      <c r="I24" s="80"/>
      <c r="K24" s="118" t="s">
        <v>114</v>
      </c>
      <c r="L24" s="19">
        <v>2699170</v>
      </c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16382.99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v>4462530.43</v>
      </c>
      <c r="D27" s="8"/>
      <c r="E27" s="8"/>
      <c r="F27" s="8"/>
      <c r="G27" s="81"/>
      <c r="H27" s="82"/>
      <c r="I27" s="80"/>
    </row>
    <row r="28" spans="1:9" ht="15">
      <c r="A28" s="40" t="s">
        <v>110</v>
      </c>
      <c r="B28" s="8"/>
      <c r="C28" s="8">
        <v>9680</v>
      </c>
      <c r="D28" s="8"/>
      <c r="E28" s="8"/>
      <c r="F28" s="8"/>
      <c r="G28" s="81"/>
      <c r="H28" s="82"/>
      <c r="I28" s="80"/>
    </row>
    <row r="29" spans="1:9" ht="15">
      <c r="A29" s="40" t="s">
        <v>81</v>
      </c>
      <c r="B29" s="8"/>
      <c r="C29" s="8">
        <v>95814.06</v>
      </c>
      <c r="D29" s="8"/>
      <c r="E29" s="8"/>
      <c r="F29" s="8"/>
      <c r="G29" s="81"/>
      <c r="H29" s="82"/>
      <c r="I29" s="80"/>
    </row>
    <row r="30" spans="1:11" ht="15">
      <c r="A30" s="40" t="s">
        <v>89</v>
      </c>
      <c r="B30" s="8"/>
      <c r="C30" s="8">
        <v>224902.48</v>
      </c>
      <c r="D30" s="8"/>
      <c r="E30" s="8"/>
      <c r="F30" s="8"/>
      <c r="G30" s="81"/>
      <c r="H30" s="82"/>
      <c r="I30" s="80"/>
      <c r="K30" s="19" t="s">
        <v>113</v>
      </c>
    </row>
    <row r="31" spans="1:9" ht="15">
      <c r="A31" s="40" t="s">
        <v>128</v>
      </c>
      <c r="B31" s="8"/>
      <c r="C31" s="8">
        <v>2698980</v>
      </c>
      <c r="D31" s="8"/>
      <c r="E31" s="8"/>
      <c r="F31" s="8"/>
      <c r="G31" s="81"/>
      <c r="H31" s="82"/>
      <c r="I31" s="80"/>
    </row>
    <row r="32" spans="1:9" ht="15">
      <c r="A32" s="40" t="s">
        <v>129</v>
      </c>
      <c r="B32" s="8"/>
      <c r="C32" s="8">
        <v>9000</v>
      </c>
      <c r="D32" s="8"/>
      <c r="E32" s="8"/>
      <c r="F32" s="8"/>
      <c r="G32" s="81"/>
      <c r="H32" s="82"/>
      <c r="I32" s="80"/>
    </row>
    <row r="33" spans="1:12" ht="15">
      <c r="A33" s="40" t="s">
        <v>90</v>
      </c>
      <c r="B33" s="8"/>
      <c r="C33" s="8">
        <v>1792186</v>
      </c>
      <c r="D33" s="8"/>
      <c r="E33" s="8"/>
      <c r="F33" s="8"/>
      <c r="G33" s="81"/>
      <c r="H33" s="82"/>
      <c r="I33" s="80"/>
      <c r="K33" s="118" t="s">
        <v>114</v>
      </c>
      <c r="L33" s="19">
        <f>4141.52+42853.8</f>
        <v>46995.32000000001</v>
      </c>
    </row>
    <row r="34" spans="1:9" ht="15">
      <c r="A34" s="40" t="s">
        <v>91</v>
      </c>
      <c r="B34" s="8"/>
      <c r="C34" s="8">
        <v>592000</v>
      </c>
      <c r="D34" s="8"/>
      <c r="E34" s="8"/>
      <c r="F34" s="8"/>
      <c r="G34" s="81"/>
      <c r="H34" s="82"/>
      <c r="I34" s="80"/>
    </row>
    <row r="35" spans="1:9" ht="15">
      <c r="A35" s="40" t="s">
        <v>122</v>
      </c>
      <c r="B35" s="8"/>
      <c r="C35" s="8">
        <v>335831.37</v>
      </c>
      <c r="D35" s="8"/>
      <c r="E35" s="8"/>
      <c r="F35" s="8"/>
      <c r="G35" s="81"/>
      <c r="H35" s="82"/>
      <c r="I35" s="80"/>
    </row>
    <row r="36" spans="1:9" ht="15">
      <c r="A36" s="40" t="s">
        <v>130</v>
      </c>
      <c r="B36" s="8"/>
      <c r="C36" s="8">
        <v>27395.9</v>
      </c>
      <c r="D36" s="8"/>
      <c r="E36" s="8"/>
      <c r="F36" s="8"/>
      <c r="G36" s="81"/>
      <c r="H36" s="82"/>
      <c r="I36" s="80"/>
    </row>
    <row r="37" spans="1:9" ht="15">
      <c r="A37" s="40" t="s">
        <v>131</v>
      </c>
      <c r="B37" s="8"/>
      <c r="C37" s="8">
        <v>632196</v>
      </c>
      <c r="D37" s="8"/>
      <c r="E37" s="8"/>
      <c r="F37" s="8"/>
      <c r="G37" s="81"/>
      <c r="H37" s="82"/>
      <c r="I37" s="80"/>
    </row>
    <row r="38" spans="1:9" ht="15" customHeight="1">
      <c r="A38" s="40" t="s">
        <v>132</v>
      </c>
      <c r="B38" s="8"/>
      <c r="C38" s="8">
        <v>1584000</v>
      </c>
      <c r="D38" s="8"/>
      <c r="E38" s="8"/>
      <c r="F38" s="8"/>
      <c r="G38" s="81"/>
      <c r="H38" s="82"/>
      <c r="I38" s="80"/>
    </row>
    <row r="39" spans="1:9" ht="15" customHeight="1">
      <c r="A39" s="40" t="s">
        <v>133</v>
      </c>
      <c r="B39" s="8"/>
      <c r="C39" s="8">
        <v>5794555.56</v>
      </c>
      <c r="D39" s="8"/>
      <c r="E39" s="8"/>
      <c r="F39" s="8"/>
      <c r="G39" s="81"/>
      <c r="H39" s="82"/>
      <c r="I39" s="80"/>
    </row>
    <row r="40" spans="1:10" ht="15">
      <c r="A40" s="40" t="s">
        <v>31</v>
      </c>
      <c r="B40" s="8"/>
      <c r="C40" s="8"/>
      <c r="D40" s="8"/>
      <c r="E40" s="8"/>
      <c r="F40" s="8"/>
      <c r="G40" s="81"/>
      <c r="H40" s="82"/>
      <c r="I40" s="80"/>
      <c r="J40" s="139">
        <v>2016</v>
      </c>
    </row>
    <row r="41" spans="1:10" ht="15">
      <c r="A41" s="40" t="s">
        <v>126</v>
      </c>
      <c r="B41" s="8"/>
      <c r="C41" s="8">
        <v>8553755</v>
      </c>
      <c r="D41" s="8"/>
      <c r="E41" s="8"/>
      <c r="F41" s="8"/>
      <c r="G41" s="81"/>
      <c r="H41" s="82"/>
      <c r="I41" s="80"/>
      <c r="J41" s="139">
        <v>2016</v>
      </c>
    </row>
    <row r="42" spans="1:9" ht="15">
      <c r="A42" s="40" t="s">
        <v>32</v>
      </c>
      <c r="B42" s="8"/>
      <c r="C42" s="8"/>
      <c r="D42" s="8"/>
      <c r="E42" s="8"/>
      <c r="F42" s="8"/>
      <c r="G42" s="81"/>
      <c r="H42" s="82"/>
      <c r="I42" s="80"/>
    </row>
    <row r="43" spans="1:10" ht="15">
      <c r="A43" s="40" t="s">
        <v>97</v>
      </c>
      <c r="B43" s="8"/>
      <c r="C43" s="8">
        <v>990000</v>
      </c>
      <c r="D43" s="8"/>
      <c r="E43" s="8"/>
      <c r="F43" s="8"/>
      <c r="G43" s="81"/>
      <c r="H43" s="82"/>
      <c r="I43" s="80"/>
      <c r="J43" s="139">
        <v>2017</v>
      </c>
    </row>
    <row r="44" spans="1:10" ht="15">
      <c r="A44" s="40" t="s">
        <v>96</v>
      </c>
      <c r="B44" s="136"/>
      <c r="C44" s="136">
        <v>1993509</v>
      </c>
      <c r="D44" s="136"/>
      <c r="E44" s="136"/>
      <c r="F44" s="136"/>
      <c r="G44" s="137"/>
      <c r="H44" s="82"/>
      <c r="I44" s="80"/>
      <c r="J44" s="139">
        <v>2017</v>
      </c>
    </row>
    <row r="45" spans="1:10" ht="15">
      <c r="A45" s="216" t="s">
        <v>106</v>
      </c>
      <c r="B45" s="204"/>
      <c r="C45" s="189">
        <v>1177462.53</v>
      </c>
      <c r="D45" s="204"/>
      <c r="E45" s="204"/>
      <c r="F45" s="204"/>
      <c r="G45" s="206"/>
      <c r="H45" s="82"/>
      <c r="I45" s="80"/>
      <c r="J45" s="218">
        <v>2016</v>
      </c>
    </row>
    <row r="46" spans="1:10" ht="15">
      <c r="A46" s="217"/>
      <c r="B46" s="205"/>
      <c r="C46" s="191"/>
      <c r="D46" s="205"/>
      <c r="E46" s="205"/>
      <c r="F46" s="205"/>
      <c r="G46" s="207"/>
      <c r="H46" s="82"/>
      <c r="I46" s="80"/>
      <c r="J46" s="218"/>
    </row>
    <row r="47" spans="1:10" ht="15">
      <c r="A47" s="138" t="s">
        <v>111</v>
      </c>
      <c r="B47" s="136"/>
      <c r="C47" s="135">
        <v>6800000</v>
      </c>
      <c r="D47" s="136"/>
      <c r="E47" s="136"/>
      <c r="F47" s="136"/>
      <c r="G47" s="137"/>
      <c r="H47" s="82"/>
      <c r="I47" s="80"/>
      <c r="J47" s="139">
        <v>2017</v>
      </c>
    </row>
    <row r="48" spans="1:10" ht="15">
      <c r="A48" s="138" t="s">
        <v>123</v>
      </c>
      <c r="B48" s="136"/>
      <c r="C48" s="135">
        <v>2258380</v>
      </c>
      <c r="D48" s="136"/>
      <c r="E48" s="136"/>
      <c r="F48" s="136"/>
      <c r="G48" s="137"/>
      <c r="H48" s="82"/>
      <c r="I48" s="80"/>
      <c r="J48" s="139">
        <v>2018</v>
      </c>
    </row>
    <row r="49" spans="1:10" ht="15">
      <c r="A49" s="138" t="s">
        <v>124</v>
      </c>
      <c r="B49" s="135"/>
      <c r="C49" s="135">
        <v>4171800</v>
      </c>
      <c r="D49" s="136"/>
      <c r="E49" s="136"/>
      <c r="F49" s="136"/>
      <c r="G49" s="137"/>
      <c r="H49" s="82"/>
      <c r="I49" s="80"/>
      <c r="J49" s="139">
        <v>2018</v>
      </c>
    </row>
    <row r="50" spans="1:10" ht="15">
      <c r="A50" s="138" t="s">
        <v>127</v>
      </c>
      <c r="B50" s="135"/>
      <c r="C50" s="135">
        <v>5990000</v>
      </c>
      <c r="D50" s="136"/>
      <c r="E50" s="136"/>
      <c r="F50" s="136"/>
      <c r="G50" s="137"/>
      <c r="H50" s="82"/>
      <c r="I50" s="80"/>
      <c r="J50" s="139">
        <v>2017</v>
      </c>
    </row>
    <row r="51" spans="1:9" ht="15">
      <c r="A51" s="39" t="s">
        <v>35</v>
      </c>
      <c r="B51" s="86">
        <f>+SUM(B21:B49)</f>
        <v>0</v>
      </c>
      <c r="C51" s="86">
        <f>+SUM(C21:C50)</f>
        <v>53804181.32</v>
      </c>
      <c r="D51" s="8"/>
      <c r="E51" s="8"/>
      <c r="F51" s="8"/>
      <c r="G51" s="89"/>
      <c r="H51" s="82"/>
      <c r="I51" s="80"/>
    </row>
    <row r="52" spans="1:9" ht="15.75" thickBot="1">
      <c r="A52" s="44" t="s">
        <v>36</v>
      </c>
      <c r="B52" s="90">
        <f>+B20-B51</f>
        <v>234086470.31</v>
      </c>
      <c r="C52" s="90">
        <f>+C20-C51</f>
        <v>191864960.5</v>
      </c>
      <c r="D52" s="91"/>
      <c r="E52" s="91"/>
      <c r="F52" s="91"/>
      <c r="G52" s="92">
        <f>+G20</f>
        <v>479755612.13</v>
      </c>
      <c r="H52" s="82"/>
      <c r="I52" s="80"/>
    </row>
    <row r="53" spans="1:9" ht="15">
      <c r="A53" s="20"/>
      <c r="B53" s="21"/>
      <c r="C53" s="21"/>
      <c r="D53" s="7"/>
      <c r="E53" s="7"/>
      <c r="F53" s="7"/>
      <c r="G53" s="21"/>
      <c r="H53" s="7"/>
      <c r="I53" s="22"/>
    </row>
    <row r="54" spans="1:9" ht="15">
      <c r="A54" s="23" t="s">
        <v>95</v>
      </c>
      <c r="B54" s="21"/>
      <c r="C54" s="21"/>
      <c r="D54" s="7"/>
      <c r="E54" s="7"/>
      <c r="F54" s="7"/>
      <c r="G54" s="21"/>
      <c r="H54" s="7"/>
      <c r="I54" s="22"/>
    </row>
    <row r="55" spans="3:7" ht="15">
      <c r="C55" s="24" t="s">
        <v>37</v>
      </c>
      <c r="D55" s="24"/>
      <c r="E55" s="24"/>
      <c r="F55" s="24"/>
      <c r="G55" s="24"/>
    </row>
    <row r="56" spans="3:7" ht="15">
      <c r="C56" s="24" t="s">
        <v>38</v>
      </c>
      <c r="D56" s="24"/>
      <c r="E56" s="24"/>
      <c r="F56" s="24"/>
      <c r="G56" s="24"/>
    </row>
    <row r="57" spans="3:7" ht="15">
      <c r="C57" s="24"/>
      <c r="D57" s="24"/>
      <c r="E57" s="24"/>
      <c r="F57" s="24"/>
      <c r="G57" s="24"/>
    </row>
    <row r="58" spans="3:7" ht="15">
      <c r="C58" s="24"/>
      <c r="D58" s="24"/>
      <c r="E58" s="24"/>
      <c r="F58" s="24"/>
      <c r="G58" s="24"/>
    </row>
    <row r="59" spans="3:7" ht="15">
      <c r="C59" s="24"/>
      <c r="D59" s="24"/>
      <c r="E59" s="24"/>
      <c r="F59" s="24"/>
      <c r="G59" s="24"/>
    </row>
    <row r="60" spans="3:7" ht="15">
      <c r="C60" s="24"/>
      <c r="D60" s="24"/>
      <c r="E60" s="24"/>
      <c r="F60" s="24"/>
      <c r="G60" s="24"/>
    </row>
    <row r="61" ht="14.25" customHeight="1"/>
    <row r="62" ht="14.25" customHeight="1">
      <c r="C62" s="4"/>
    </row>
    <row r="63" ht="14.25" customHeight="1">
      <c r="C63" s="4"/>
    </row>
    <row r="64" spans="2:9" ht="15" customHeight="1">
      <c r="B64" s="22"/>
      <c r="C64" s="110"/>
      <c r="F64" s="196" t="s">
        <v>70</v>
      </c>
      <c r="G64" s="195"/>
      <c r="H64" s="26"/>
      <c r="I64" s="26"/>
    </row>
    <row r="65" spans="2:9" ht="15" customHeight="1">
      <c r="B65" s="111"/>
      <c r="C65" s="112"/>
      <c r="F65" s="197" t="s">
        <v>71</v>
      </c>
      <c r="G65" s="187"/>
      <c r="H65" s="27"/>
      <c r="I65" s="27"/>
    </row>
    <row r="66" spans="2:9" ht="15" customHeight="1">
      <c r="B66" s="111"/>
      <c r="C66" s="112"/>
      <c r="F66" s="187" t="s">
        <v>43</v>
      </c>
      <c r="G66" s="187"/>
      <c r="H66" s="27"/>
      <c r="I66" s="27"/>
    </row>
    <row r="67" spans="1:10" s="19" customFormat="1" ht="15">
      <c r="A67"/>
      <c r="B67"/>
      <c r="C67" s="4"/>
      <c r="D67"/>
      <c r="E67"/>
      <c r="F67"/>
      <c r="G67"/>
      <c r="H67"/>
      <c r="I67"/>
      <c r="J67" s="62"/>
    </row>
    <row r="68" ht="15">
      <c r="C68" s="19"/>
    </row>
    <row r="69" spans="1:10" s="19" customFormat="1" ht="15">
      <c r="A69"/>
      <c r="B69"/>
      <c r="D69"/>
      <c r="E69"/>
      <c r="F69"/>
      <c r="G69"/>
      <c r="H69"/>
      <c r="I69"/>
      <c r="J69" s="62"/>
    </row>
    <row r="70" spans="1:10" s="19" customFormat="1" ht="15">
      <c r="A70"/>
      <c r="B70"/>
      <c r="C70" s="4"/>
      <c r="D70"/>
      <c r="E70"/>
      <c r="F70"/>
      <c r="G70"/>
      <c r="H70"/>
      <c r="I70"/>
      <c r="J70" s="62"/>
    </row>
    <row r="72" ht="15">
      <c r="C72" s="4"/>
    </row>
    <row r="73" ht="15">
      <c r="C73" s="4"/>
    </row>
    <row r="74" ht="15">
      <c r="C74" s="4"/>
    </row>
  </sheetData>
  <sheetProtection/>
  <mergeCells count="24">
    <mergeCell ref="J45:J46"/>
    <mergeCell ref="F64:G64"/>
    <mergeCell ref="F65:G65"/>
    <mergeCell ref="F66:G66"/>
    <mergeCell ref="B14:B17"/>
    <mergeCell ref="C14:C17"/>
    <mergeCell ref="G14:G17"/>
    <mergeCell ref="F45:F46"/>
    <mergeCell ref="G45:G46"/>
    <mergeCell ref="A45:A46"/>
    <mergeCell ref="B45:B46"/>
    <mergeCell ref="C45:C46"/>
    <mergeCell ref="D45:D46"/>
    <mergeCell ref="E45:E46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1" fitToWidth="1" horizontalDpi="360" verticalDpi="360" orientation="portrait" paperSize="9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8:N21"/>
  <sheetViews>
    <sheetView zoomScalePageLayoutView="0" workbookViewId="0" topLeftCell="A7">
      <selection activeCell="F51" sqref="F51:G52"/>
    </sheetView>
  </sheetViews>
  <sheetFormatPr defaultColWidth="9.140625" defaultRowHeight="15"/>
  <cols>
    <col min="3" max="3" width="28.8515625" style="19" bestFit="1" customWidth="1"/>
    <col min="4" max="4" width="15.00390625" style="19" customWidth="1"/>
    <col min="5" max="5" width="3.140625" style="19" customWidth="1"/>
    <col min="6" max="6" width="28.8515625" style="19" bestFit="1" customWidth="1"/>
    <col min="7" max="7" width="14.28125" style="19" bestFit="1" customWidth="1"/>
    <col min="8" max="14" width="9.140625" style="19" customWidth="1"/>
  </cols>
  <sheetData>
    <row r="8" spans="3:6" ht="15">
      <c r="C8" s="140" t="s">
        <v>134</v>
      </c>
      <c r="F8" s="140" t="s">
        <v>141</v>
      </c>
    </row>
    <row r="10" spans="3:7" ht="15">
      <c r="C10" s="19" t="s">
        <v>136</v>
      </c>
      <c r="D10" s="19">
        <v>44594200</v>
      </c>
      <c r="F10" s="19" t="s">
        <v>136</v>
      </c>
      <c r="G10" s="19">
        <v>44594200</v>
      </c>
    </row>
    <row r="11" spans="3:7" ht="15">
      <c r="C11" s="19" t="s">
        <v>137</v>
      </c>
      <c r="D11" s="141">
        <v>21869274.79</v>
      </c>
      <c r="F11" s="19" t="s">
        <v>137</v>
      </c>
      <c r="G11" s="141">
        <v>21869274.79</v>
      </c>
    </row>
    <row r="12" spans="3:7" ht="15">
      <c r="C12" s="19" t="s">
        <v>138</v>
      </c>
      <c r="D12" s="19">
        <f>+D10-D11</f>
        <v>22724925.21</v>
      </c>
      <c r="F12" s="19" t="s">
        <v>138</v>
      </c>
      <c r="G12" s="19">
        <f>+G10-G11</f>
        <v>22724925.21</v>
      </c>
    </row>
    <row r="13" spans="3:14" s="143" customFormat="1" ht="33" customHeight="1">
      <c r="C13" s="142" t="s">
        <v>139</v>
      </c>
      <c r="D13" s="144">
        <v>42850782</v>
      </c>
      <c r="E13" s="142"/>
      <c r="F13" s="142" t="s">
        <v>139</v>
      </c>
      <c r="G13" s="144">
        <v>42850782</v>
      </c>
      <c r="H13" s="142"/>
      <c r="I13" s="142"/>
      <c r="J13" s="142"/>
      <c r="K13" s="142"/>
      <c r="L13" s="142"/>
      <c r="M13" s="142"/>
      <c r="N13" s="142"/>
    </row>
    <row r="14" spans="3:7" ht="15">
      <c r="C14" s="19" t="s">
        <v>140</v>
      </c>
      <c r="D14" s="19">
        <f>+D12+D13</f>
        <v>65575707.21</v>
      </c>
      <c r="F14" s="19" t="s">
        <v>140</v>
      </c>
      <c r="G14" s="19">
        <f>+G12+G13</f>
        <v>65575707.21</v>
      </c>
    </row>
    <row r="15" spans="3:7" ht="15">
      <c r="C15" s="19" t="s">
        <v>135</v>
      </c>
      <c r="D15" s="19">
        <v>45850781.7</v>
      </c>
      <c r="F15" s="19" t="s">
        <v>142</v>
      </c>
      <c r="G15" s="19">
        <v>42850781.7</v>
      </c>
    </row>
    <row r="16" spans="4:7" ht="15.75" thickBot="1">
      <c r="D16" s="145">
        <f>+D14-D15</f>
        <v>19724925.509999998</v>
      </c>
      <c r="E16" s="140"/>
      <c r="F16" s="140"/>
      <c r="G16" s="145">
        <f>+G14-G15</f>
        <v>22724925.509999998</v>
      </c>
    </row>
    <row r="17" spans="4:7" ht="15.75" thickTop="1">
      <c r="D17" s="140"/>
      <c r="E17" s="140"/>
      <c r="F17" s="140"/>
      <c r="G17" s="140"/>
    </row>
    <row r="19" spans="6:7" ht="15">
      <c r="F19" s="19" t="s">
        <v>140</v>
      </c>
      <c r="G19" s="19">
        <v>65575707.21</v>
      </c>
    </row>
    <row r="20" spans="6:7" ht="15">
      <c r="F20" s="19" t="s">
        <v>143</v>
      </c>
      <c r="G20" s="19">
        <v>42850781.7</v>
      </c>
    </row>
    <row r="21" spans="6:7" ht="15.75" thickBot="1">
      <c r="F21" s="19" t="s">
        <v>144</v>
      </c>
      <c r="G21" s="145">
        <f>+G19-G20</f>
        <v>22724925.509999998</v>
      </c>
    </row>
    <row r="22" ht="15.75" thickTop="1"/>
  </sheetData>
  <sheetProtection/>
  <printOptions/>
  <pageMargins left="1" right="1" top="1" bottom="1" header="0.5" footer="0.5"/>
  <pageSetup horizontalDpi="360" verticalDpi="36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57"/>
  <sheetViews>
    <sheetView zoomScale="90" zoomScaleNormal="90" zoomScalePageLayoutView="0" workbookViewId="0" topLeftCell="A1">
      <pane ySplit="10" topLeftCell="A20" activePane="bottomLeft" state="frozen"/>
      <selection pane="topLeft" activeCell="F51" sqref="F51:G52"/>
      <selection pane="bottomLeft" activeCell="F51" sqref="F51:G52"/>
    </sheetView>
  </sheetViews>
  <sheetFormatPr defaultColWidth="9.140625" defaultRowHeight="15"/>
  <cols>
    <col min="1" max="1" width="64.00390625" style="0" customWidth="1"/>
    <col min="2" max="3" width="16.00390625" style="0" customWidth="1"/>
    <col min="4" max="6" width="9.71093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21.421875" style="0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145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12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117">
        <v>3276089043</v>
      </c>
      <c r="L11" s="97"/>
    </row>
    <row r="12" spans="1:12" s="97" customFormat="1" ht="15">
      <c r="A12" s="40" t="s">
        <v>68</v>
      </c>
      <c r="B12" s="8">
        <f>+K12*0.3</f>
        <v>49141335.6</v>
      </c>
      <c r="C12" s="8">
        <f>+K12*0.7</f>
        <v>114663116.39999999</v>
      </c>
      <c r="D12" s="8"/>
      <c r="E12" s="8"/>
      <c r="F12" s="8"/>
      <c r="G12" s="81">
        <f>+B12+C12</f>
        <v>163804452</v>
      </c>
      <c r="H12" s="82"/>
      <c r="I12" s="80"/>
      <c r="K12" s="19">
        <v>163804452</v>
      </c>
      <c r="L12"/>
    </row>
    <row r="13" spans="1:12" ht="15">
      <c r="A13" s="40" t="s">
        <v>146</v>
      </c>
      <c r="B13" s="8"/>
      <c r="C13" s="8">
        <v>68279468.5</v>
      </c>
      <c r="D13" s="8"/>
      <c r="E13" s="8"/>
      <c r="F13" s="8"/>
      <c r="G13" s="81">
        <f>+C13</f>
        <v>68279468.5</v>
      </c>
      <c r="H13" s="82"/>
      <c r="I13" s="80"/>
      <c r="K13" s="19">
        <f>+K12*0.7</f>
        <v>114663116.39999999</v>
      </c>
      <c r="L13">
        <v>70</v>
      </c>
    </row>
    <row r="14" spans="1:12" ht="15">
      <c r="A14" s="41" t="s">
        <v>17</v>
      </c>
      <c r="B14" s="189">
        <f>+K25</f>
        <v>228626295.82000002</v>
      </c>
      <c r="C14" s="189"/>
      <c r="D14" s="10"/>
      <c r="E14" s="83"/>
      <c r="F14" s="83"/>
      <c r="G14" s="192">
        <f>+B14</f>
        <v>228626295.82000002</v>
      </c>
      <c r="H14" s="82"/>
      <c r="I14" s="80"/>
      <c r="K14" s="19">
        <f>+K12*0.3</f>
        <v>49141335.6</v>
      </c>
      <c r="L14">
        <v>30</v>
      </c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149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21</v>
      </c>
      <c r="B17" s="84"/>
      <c r="C17" s="84"/>
      <c r="D17" s="84"/>
      <c r="E17" s="84"/>
      <c r="F17" s="84"/>
      <c r="G17" s="85"/>
      <c r="H17" s="82"/>
      <c r="I17" s="80"/>
    </row>
    <row r="18" spans="1:9" s="16" customFormat="1" ht="15" hidden="1">
      <c r="A18" s="40" t="s">
        <v>22</v>
      </c>
      <c r="B18" s="8"/>
      <c r="C18" s="8"/>
      <c r="D18" s="8"/>
      <c r="E18" s="8"/>
      <c r="F18" s="8"/>
      <c r="G18" s="81"/>
      <c r="H18" s="82"/>
      <c r="I18" s="80"/>
    </row>
    <row r="19" spans="1:11" ht="15">
      <c r="A19" s="39" t="s">
        <v>23</v>
      </c>
      <c r="B19" s="86">
        <f>SUM(B12:B18)</f>
        <v>277767631.42</v>
      </c>
      <c r="C19" s="86">
        <f>SUM(C12:C18)</f>
        <v>182942584.89999998</v>
      </c>
      <c r="D19" s="8"/>
      <c r="E19" s="8"/>
      <c r="F19" s="8"/>
      <c r="G19" s="81">
        <f>SUM(B19:F19)</f>
        <v>460710216.32</v>
      </c>
      <c r="H19" s="82"/>
      <c r="I19" s="80"/>
      <c r="J19">
        <v>2014</v>
      </c>
      <c r="K19" s="4">
        <v>25751090</v>
      </c>
    </row>
    <row r="20" spans="1:11" ht="15">
      <c r="A20" s="39" t="s">
        <v>24</v>
      </c>
      <c r="B20" s="8"/>
      <c r="C20" s="8"/>
      <c r="D20" s="8"/>
      <c r="E20" s="8"/>
      <c r="F20" s="8"/>
      <c r="G20" s="81"/>
      <c r="H20" s="82"/>
      <c r="I20" s="80"/>
      <c r="J20">
        <v>2015</v>
      </c>
      <c r="K20" s="4">
        <v>31603481.5</v>
      </c>
    </row>
    <row r="21" spans="1:11" ht="15">
      <c r="A21" s="40" t="s">
        <v>25</v>
      </c>
      <c r="B21" s="8"/>
      <c r="C21" s="8"/>
      <c r="D21" s="8"/>
      <c r="E21" s="8"/>
      <c r="F21" s="8"/>
      <c r="G21" s="81"/>
      <c r="H21" s="82"/>
      <c r="I21" s="80"/>
      <c r="J21">
        <v>2016</v>
      </c>
      <c r="K21" s="4">
        <v>60262141.58</v>
      </c>
    </row>
    <row r="22" spans="1:11" ht="15">
      <c r="A22" s="40" t="s">
        <v>26</v>
      </c>
      <c r="B22" s="8"/>
      <c r="C22" s="8"/>
      <c r="D22" s="8"/>
      <c r="E22" s="8"/>
      <c r="F22" s="8"/>
      <c r="G22" s="81"/>
      <c r="H22" s="82"/>
      <c r="I22" s="80"/>
      <c r="J22">
        <v>2017</v>
      </c>
      <c r="K22" s="4">
        <v>45433875.53</v>
      </c>
    </row>
    <row r="23" spans="1:11" ht="15">
      <c r="A23" s="40" t="s">
        <v>27</v>
      </c>
      <c r="B23" s="8"/>
      <c r="C23" s="8"/>
      <c r="D23" s="8"/>
      <c r="E23" s="8"/>
      <c r="F23" s="8"/>
      <c r="G23" s="81"/>
      <c r="H23" s="82"/>
      <c r="I23" s="80"/>
      <c r="J23">
        <v>2018</v>
      </c>
      <c r="K23" s="4">
        <v>65575707.21</v>
      </c>
    </row>
    <row r="24" spans="1:9" ht="15" hidden="1">
      <c r="A24" s="40" t="s">
        <v>28</v>
      </c>
      <c r="B24" s="8"/>
      <c r="C24" s="8"/>
      <c r="D24" s="8"/>
      <c r="E24" s="8"/>
      <c r="F24" s="8"/>
      <c r="G24" s="81"/>
      <c r="H24" s="82"/>
      <c r="I24" s="80"/>
    </row>
    <row r="25" spans="1:11" ht="15.75" thickBot="1">
      <c r="A25" s="40" t="s">
        <v>45</v>
      </c>
      <c r="B25" s="8"/>
      <c r="C25" s="8"/>
      <c r="D25" s="8"/>
      <c r="E25" s="8"/>
      <c r="F25" s="8"/>
      <c r="G25" s="81"/>
      <c r="H25" s="82"/>
      <c r="I25" s="80"/>
      <c r="K25" s="148">
        <f>SUM(K19:K24)</f>
        <v>228626295.82000002</v>
      </c>
    </row>
    <row r="26" spans="1:9" ht="15.75" thickTop="1">
      <c r="A26" s="40" t="s">
        <v>46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81</v>
      </c>
      <c r="B27" s="8"/>
      <c r="C27" s="8"/>
      <c r="D27" s="8"/>
      <c r="E27" s="8"/>
      <c r="F27" s="8"/>
      <c r="G27" s="81"/>
      <c r="H27" s="82"/>
      <c r="I27" s="80"/>
    </row>
    <row r="28" spans="1:9" ht="15">
      <c r="A28" s="40" t="s">
        <v>89</v>
      </c>
      <c r="B28" s="8"/>
      <c r="C28" s="8"/>
      <c r="D28" s="8"/>
      <c r="E28" s="8"/>
      <c r="F28" s="8"/>
      <c r="G28" s="81"/>
      <c r="H28" s="82"/>
      <c r="I28" s="80"/>
    </row>
    <row r="29" spans="1:9" ht="15">
      <c r="A29" s="40" t="s">
        <v>90</v>
      </c>
      <c r="B29" s="8"/>
      <c r="C29" s="8"/>
      <c r="D29" s="8"/>
      <c r="E29" s="8"/>
      <c r="F29" s="8"/>
      <c r="G29" s="81"/>
      <c r="H29" s="82"/>
      <c r="I29" s="80"/>
    </row>
    <row r="30" spans="1:9" ht="15">
      <c r="A30" s="40" t="s">
        <v>91</v>
      </c>
      <c r="B30" s="8"/>
      <c r="C30" s="8"/>
      <c r="D30" s="8"/>
      <c r="E30" s="8"/>
      <c r="F30" s="8"/>
      <c r="G30" s="81"/>
      <c r="H30" s="82"/>
      <c r="I30" s="80"/>
    </row>
    <row r="31" spans="1:9" ht="15" customHeight="1" hidden="1">
      <c r="A31" s="41" t="s">
        <v>30</v>
      </c>
      <c r="B31" s="8"/>
      <c r="C31" s="8"/>
      <c r="D31" s="8"/>
      <c r="E31" s="8"/>
      <c r="F31" s="8"/>
      <c r="G31" s="81"/>
      <c r="H31" s="82"/>
      <c r="I31" s="80"/>
    </row>
    <row r="32" spans="1:9" ht="15" customHeight="1">
      <c r="A32" s="40" t="s">
        <v>92</v>
      </c>
      <c r="B32" s="8"/>
      <c r="C32" s="8"/>
      <c r="D32" s="8"/>
      <c r="E32" s="8"/>
      <c r="F32" s="8"/>
      <c r="G32" s="81"/>
      <c r="H32" s="82"/>
      <c r="I32" s="80"/>
    </row>
    <row r="33" spans="1:9" ht="15">
      <c r="A33" s="42" t="s">
        <v>31</v>
      </c>
      <c r="B33" s="8"/>
      <c r="C33" s="8"/>
      <c r="D33" s="8"/>
      <c r="E33" s="8"/>
      <c r="F33" s="8"/>
      <c r="G33" s="81"/>
      <c r="H33" s="82"/>
      <c r="I33" s="80"/>
    </row>
    <row r="34" spans="1:9" ht="15">
      <c r="A34" s="40" t="s">
        <v>32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33</v>
      </c>
      <c r="B35" s="8"/>
      <c r="C35" s="8"/>
      <c r="D35" s="8"/>
      <c r="E35" s="8"/>
      <c r="F35" s="8"/>
      <c r="G35" s="81"/>
      <c r="H35" s="82"/>
      <c r="I35" s="80"/>
    </row>
    <row r="36" spans="1:9" ht="15">
      <c r="A36" s="40" t="s">
        <v>34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39" t="s">
        <v>35</v>
      </c>
      <c r="B37" s="86">
        <f>+SUM(B20:B36)</f>
        <v>0</v>
      </c>
      <c r="C37" s="86">
        <f>+SUM(C20:C36)</f>
        <v>0</v>
      </c>
      <c r="D37" s="8"/>
      <c r="E37" s="8"/>
      <c r="F37" s="8"/>
      <c r="G37" s="89"/>
      <c r="H37" s="82"/>
      <c r="I37" s="80"/>
    </row>
    <row r="38" spans="1:9" ht="15.75" thickBot="1">
      <c r="A38" s="44" t="s">
        <v>36</v>
      </c>
      <c r="B38" s="90">
        <f>+B19-B37</f>
        <v>277767631.42</v>
      </c>
      <c r="C38" s="90">
        <f>+C19-C37</f>
        <v>182942584.89999998</v>
      </c>
      <c r="D38" s="91"/>
      <c r="E38" s="91"/>
      <c r="F38" s="91"/>
      <c r="G38" s="92">
        <f>+G19</f>
        <v>460710216.32</v>
      </c>
      <c r="H38" s="82"/>
      <c r="I38" s="80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4" t="s">
        <v>151</v>
      </c>
      <c r="B40" s="21"/>
      <c r="C40" s="21"/>
      <c r="D40" s="7"/>
      <c r="E40" s="7"/>
      <c r="F40" s="7"/>
      <c r="G40" s="21"/>
      <c r="H40" s="7"/>
      <c r="I40" s="22"/>
    </row>
    <row r="41" spans="1:7" ht="15">
      <c r="A41" s="24"/>
      <c r="D41" s="24"/>
      <c r="E41" s="24"/>
      <c r="F41" s="24"/>
      <c r="G41" s="24"/>
    </row>
    <row r="42" spans="4:7" ht="15">
      <c r="D42" s="24"/>
      <c r="E42" s="24"/>
      <c r="F42" s="24"/>
      <c r="G42" s="24"/>
    </row>
    <row r="43" spans="1:7" ht="15">
      <c r="A43" s="23" t="s">
        <v>147</v>
      </c>
      <c r="C43" s="24"/>
      <c r="D43" s="24"/>
      <c r="E43" s="24"/>
      <c r="F43" s="24"/>
      <c r="G43" s="24"/>
    </row>
    <row r="44" spans="1:7" ht="15">
      <c r="A44" s="23" t="s">
        <v>148</v>
      </c>
      <c r="C44" s="24"/>
      <c r="D44" s="24"/>
      <c r="E44" s="24"/>
      <c r="F44" s="24"/>
      <c r="G44" s="24"/>
    </row>
    <row r="45" spans="3:7" ht="15">
      <c r="C45" s="24"/>
      <c r="D45" s="24"/>
      <c r="E45" s="24"/>
      <c r="F45" s="24"/>
      <c r="G45" s="24"/>
    </row>
    <row r="46" ht="14.25" customHeight="1"/>
    <row r="47" ht="14.25" customHeight="1"/>
    <row r="48" ht="14.25" customHeight="1"/>
    <row r="49" ht="14.25" customHeight="1"/>
    <row r="50" ht="14.25" customHeight="1"/>
    <row r="51" spans="2:11" ht="15" customHeight="1">
      <c r="B51" s="22"/>
      <c r="C51" s="22"/>
      <c r="F51" s="196" t="s">
        <v>70</v>
      </c>
      <c r="G51" s="195"/>
      <c r="H51" s="26"/>
      <c r="I51" s="26"/>
      <c r="K51" t="s">
        <v>41</v>
      </c>
    </row>
    <row r="52" spans="2:11" ht="15" customHeight="1">
      <c r="B52" s="186"/>
      <c r="C52" s="186"/>
      <c r="F52" s="187" t="s">
        <v>156</v>
      </c>
      <c r="G52" s="187"/>
      <c r="H52" s="27"/>
      <c r="I52" s="27"/>
      <c r="K52" t="s">
        <v>150</v>
      </c>
    </row>
    <row r="53" spans="2:9" ht="15" customHeight="1">
      <c r="B53" s="186"/>
      <c r="C53" s="186"/>
      <c r="F53" s="187"/>
      <c r="G53" s="187"/>
      <c r="H53" s="27"/>
      <c r="I53" s="27"/>
    </row>
    <row r="54" spans="1:9" s="19" customFormat="1" ht="15">
      <c r="A54"/>
      <c r="B54"/>
      <c r="C54"/>
      <c r="D54"/>
      <c r="E54"/>
      <c r="F54"/>
      <c r="G54"/>
      <c r="H54"/>
      <c r="I54"/>
    </row>
    <row r="56" spans="1:9" s="19" customFormat="1" ht="15">
      <c r="A56"/>
      <c r="B56"/>
      <c r="D56"/>
      <c r="E56"/>
      <c r="F56"/>
      <c r="G56"/>
      <c r="H56"/>
      <c r="I56"/>
    </row>
    <row r="57" spans="1:9" s="19" customFormat="1" ht="15">
      <c r="A57"/>
      <c r="B57"/>
      <c r="C57" s="4"/>
      <c r="D57"/>
      <c r="E57"/>
      <c r="F57"/>
      <c r="G57"/>
      <c r="H57"/>
      <c r="I57"/>
    </row>
  </sheetData>
  <sheetProtection/>
  <mergeCells count="18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B53:C53"/>
    <mergeCell ref="F53:G53"/>
    <mergeCell ref="B14:B16"/>
    <mergeCell ref="C14:C16"/>
    <mergeCell ref="G14:G16"/>
    <mergeCell ref="F51:G51"/>
    <mergeCell ref="B52:C52"/>
    <mergeCell ref="F52:G52"/>
  </mergeCells>
  <printOptions horizontalCentered="1"/>
  <pageMargins left="0.25" right="0.25" top="0.75" bottom="0.75" header="0.3" footer="0.3"/>
  <pageSetup fitToHeight="0" fitToWidth="0" horizontalDpi="360" verticalDpi="36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75" t="s">
        <v>2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48</v>
      </c>
      <c r="B5" s="175"/>
      <c r="C5" s="175"/>
      <c r="D5" s="175"/>
      <c r="E5" s="175"/>
      <c r="F5" s="175"/>
      <c r="G5" s="175"/>
      <c r="H5" s="175"/>
      <c r="I5" s="175"/>
    </row>
    <row r="6" spans="1:9" ht="15">
      <c r="A6" s="175" t="s">
        <v>3</v>
      </c>
      <c r="B6" s="175"/>
      <c r="C6" s="175"/>
      <c r="D6" s="175"/>
      <c r="E6" s="175"/>
      <c r="F6" s="175"/>
      <c r="G6" s="175"/>
      <c r="H6" s="175"/>
      <c r="I6" s="175"/>
    </row>
    <row r="8" ht="9" customHeight="1" thickBot="1"/>
    <row r="9" spans="1:9" ht="21" customHeight="1">
      <c r="A9" s="176" t="s">
        <v>4</v>
      </c>
      <c r="B9" s="179" t="s">
        <v>5</v>
      </c>
      <c r="C9" s="180"/>
      <c r="D9" s="176" t="s">
        <v>6</v>
      </c>
      <c r="E9" s="176" t="s">
        <v>11</v>
      </c>
      <c r="F9" s="176" t="s">
        <v>40</v>
      </c>
      <c r="G9" s="181" t="s">
        <v>12</v>
      </c>
      <c r="H9" s="184" t="s">
        <v>7</v>
      </c>
      <c r="I9" s="1" t="s">
        <v>8</v>
      </c>
    </row>
    <row r="10" spans="1:9" ht="31.5" customHeight="1">
      <c r="A10" s="177"/>
      <c r="B10" s="51" t="s">
        <v>9</v>
      </c>
      <c r="C10" s="53" t="s">
        <v>10</v>
      </c>
      <c r="D10" s="177"/>
      <c r="E10" s="177"/>
      <c r="F10" s="177"/>
      <c r="G10" s="182"/>
      <c r="H10" s="185"/>
      <c r="I10" s="2"/>
    </row>
    <row r="11" spans="1:11" ht="20.25" customHeight="1" thickBot="1">
      <c r="A11" s="178"/>
      <c r="B11" s="52">
        <v>0.3</v>
      </c>
      <c r="C11" s="54">
        <v>0.7</v>
      </c>
      <c r="D11" s="178"/>
      <c r="E11" s="178"/>
      <c r="F11" s="178"/>
      <c r="G11" s="18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>SUM(B13:F13)</f>
        <v>132010181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>SUM(B14:F14)</f>
        <v>49705954.53</v>
      </c>
      <c r="H14" s="9"/>
      <c r="I14" s="5"/>
      <c r="K14" s="188"/>
      <c r="M14" s="19">
        <f>+K13*0.3</f>
        <v>39603054.3</v>
      </c>
    </row>
    <row r="15" spans="1:11" ht="15">
      <c r="A15" s="34" t="s">
        <v>17</v>
      </c>
      <c r="B15" s="189">
        <f>220000000+22552281</f>
        <v>242552281</v>
      </c>
      <c r="C15" s="189"/>
      <c r="D15" s="10"/>
      <c r="E15" s="11"/>
      <c r="F15" s="11"/>
      <c r="G15" s="192">
        <f>SUM(B15:F15)</f>
        <v>242552281</v>
      </c>
      <c r="H15" s="9"/>
      <c r="I15" s="5"/>
      <c r="K15" s="188"/>
    </row>
    <row r="16" spans="1:11" ht="15">
      <c r="A16" s="34" t="s">
        <v>18</v>
      </c>
      <c r="B16" s="190"/>
      <c r="C16" s="190"/>
      <c r="D16" s="11"/>
      <c r="E16" s="11"/>
      <c r="F16" s="11"/>
      <c r="G16" s="193">
        <f>SUM(B16:F16)</f>
        <v>0</v>
      </c>
      <c r="H16" s="9"/>
      <c r="I16" s="5"/>
      <c r="K16" s="188"/>
    </row>
    <row r="17" spans="1:11" ht="15">
      <c r="A17" s="34" t="s">
        <v>19</v>
      </c>
      <c r="B17" s="190"/>
      <c r="C17" s="190"/>
      <c r="D17" s="11"/>
      <c r="E17" s="11"/>
      <c r="F17" s="11"/>
      <c r="G17" s="193">
        <f>SUM(B17:F17)</f>
        <v>0</v>
      </c>
      <c r="H17" s="9"/>
      <c r="I17" s="5"/>
      <c r="K17" s="12"/>
    </row>
    <row r="18" spans="1:14" ht="15">
      <c r="A18" s="35" t="s">
        <v>20</v>
      </c>
      <c r="B18" s="191"/>
      <c r="C18" s="191"/>
      <c r="D18" s="13"/>
      <c r="E18" s="13"/>
      <c r="F18" s="13"/>
      <c r="G18" s="194">
        <f>SUM(B18:F18)</f>
        <v>0</v>
      </c>
      <c r="H18" s="9"/>
      <c r="I18" s="5"/>
      <c r="K18" s="12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v>8097.56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42795.479999999996</v>
      </c>
      <c r="D35" s="6"/>
      <c r="E35" s="6"/>
      <c r="F35" s="6"/>
      <c r="G35" s="43">
        <f>SUM(B35:F35)</f>
        <v>42795.479999999996</v>
      </c>
      <c r="H35" s="9"/>
      <c r="I35" s="5"/>
    </row>
    <row r="36" spans="1:9" ht="15.75" thickBot="1">
      <c r="A36" s="44" t="s">
        <v>36</v>
      </c>
      <c r="B36" s="46">
        <f>B21-B35</f>
        <v>282155335.3</v>
      </c>
      <c r="C36" s="46">
        <f>+C21-C35</f>
        <v>142070285.75000003</v>
      </c>
      <c r="D36" s="47"/>
      <c r="E36" s="47"/>
      <c r="F36" s="47"/>
      <c r="G36" s="48">
        <f>G21-G35</f>
        <v>424225621.05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/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95" t="s">
        <v>41</v>
      </c>
      <c r="G46" s="195"/>
      <c r="H46" s="26"/>
      <c r="I46" s="26"/>
      <c r="J46" s="26"/>
      <c r="K46" s="4"/>
    </row>
    <row r="47" spans="2:11" ht="15" customHeight="1">
      <c r="B47" s="186"/>
      <c r="C47" s="186"/>
      <c r="F47" s="187" t="s">
        <v>42</v>
      </c>
      <c r="G47" s="187"/>
      <c r="H47" s="27"/>
      <c r="I47" s="27"/>
      <c r="J47" s="27"/>
      <c r="K47" s="19"/>
    </row>
    <row r="48" spans="2:11" ht="15" customHeight="1">
      <c r="B48" s="186"/>
      <c r="C48" s="186"/>
      <c r="F48" s="187" t="s">
        <v>43</v>
      </c>
      <c r="G48" s="187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A4:I4"/>
    <mergeCell ref="A5:I5"/>
    <mergeCell ref="A6:I6"/>
    <mergeCell ref="A9:A11"/>
    <mergeCell ref="B9:C9"/>
    <mergeCell ref="D9:D11"/>
    <mergeCell ref="H9:H10"/>
    <mergeCell ref="E9:E11"/>
    <mergeCell ref="F9:F11"/>
    <mergeCell ref="G9:G11"/>
    <mergeCell ref="K14:K16"/>
    <mergeCell ref="B47:C47"/>
    <mergeCell ref="B48:C48"/>
    <mergeCell ref="F46:G46"/>
    <mergeCell ref="F47:G47"/>
    <mergeCell ref="F48:G48"/>
    <mergeCell ref="B15:B18"/>
    <mergeCell ref="C15:C18"/>
    <mergeCell ref="G15:G18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7"/>
  <sheetViews>
    <sheetView zoomScale="90" zoomScaleNormal="90" zoomScalePageLayoutView="0" workbookViewId="0" topLeftCell="A1">
      <pane ySplit="10" topLeftCell="A35" activePane="bottomLeft" state="frozen"/>
      <selection pane="topLeft" activeCell="F51" sqref="F51:G52"/>
      <selection pane="bottomLeft" activeCell="F51" sqref="F51:G52"/>
    </sheetView>
  </sheetViews>
  <sheetFormatPr defaultColWidth="9.140625" defaultRowHeight="15"/>
  <cols>
    <col min="1" max="1" width="64.00390625" style="0" customWidth="1"/>
    <col min="2" max="3" width="16.00390625" style="0" customWidth="1"/>
    <col min="4" max="6" width="9.71093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21.421875" style="0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152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12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117">
        <v>3276089043</v>
      </c>
      <c r="L11" s="97"/>
    </row>
    <row r="12" spans="1:12" s="97" customFormat="1" ht="15">
      <c r="A12" s="40" t="s">
        <v>68</v>
      </c>
      <c r="B12" s="8">
        <f>+K12*0.3</f>
        <v>49141335.6</v>
      </c>
      <c r="C12" s="8">
        <f>+K12*0.7</f>
        <v>114663116.39999999</v>
      </c>
      <c r="D12" s="8"/>
      <c r="E12" s="8"/>
      <c r="F12" s="8"/>
      <c r="G12" s="81">
        <f>+B12+C12</f>
        <v>163804452</v>
      </c>
      <c r="H12" s="82"/>
      <c r="I12" s="80"/>
      <c r="K12" s="19">
        <v>163804452</v>
      </c>
      <c r="L12"/>
    </row>
    <row r="13" spans="1:12" ht="15">
      <c r="A13" s="40" t="s">
        <v>146</v>
      </c>
      <c r="B13" s="8"/>
      <c r="C13" s="8">
        <v>68279468.5</v>
      </c>
      <c r="D13" s="8"/>
      <c r="E13" s="8"/>
      <c r="F13" s="8"/>
      <c r="G13" s="81">
        <f>+C13</f>
        <v>68279468.5</v>
      </c>
      <c r="H13" s="82"/>
      <c r="I13" s="80"/>
      <c r="K13" s="19">
        <f>+K12*0.7</f>
        <v>114663116.39999999</v>
      </c>
      <c r="L13">
        <v>70</v>
      </c>
    </row>
    <row r="14" spans="1:12" ht="15">
      <c r="A14" s="41" t="s">
        <v>17</v>
      </c>
      <c r="B14" s="189">
        <f>+K25</f>
        <v>228626295.82000002</v>
      </c>
      <c r="C14" s="189"/>
      <c r="D14" s="10"/>
      <c r="E14" s="83"/>
      <c r="F14" s="83"/>
      <c r="G14" s="192">
        <f>+B14</f>
        <v>228626295.82000002</v>
      </c>
      <c r="H14" s="82"/>
      <c r="I14" s="80"/>
      <c r="K14" s="19">
        <f>+K12*0.3</f>
        <v>49141335.6</v>
      </c>
      <c r="L14">
        <v>30</v>
      </c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149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21</v>
      </c>
      <c r="B17" s="84"/>
      <c r="C17" s="84"/>
      <c r="D17" s="84"/>
      <c r="E17" s="84"/>
      <c r="F17" s="84"/>
      <c r="G17" s="85"/>
      <c r="H17" s="82"/>
      <c r="I17" s="80"/>
    </row>
    <row r="18" spans="1:9" s="16" customFormat="1" ht="15" hidden="1">
      <c r="A18" s="40" t="s">
        <v>22</v>
      </c>
      <c r="B18" s="8"/>
      <c r="C18" s="8"/>
      <c r="D18" s="8"/>
      <c r="E18" s="8"/>
      <c r="F18" s="8"/>
      <c r="G18" s="81"/>
      <c r="H18" s="82"/>
      <c r="I18" s="80"/>
    </row>
    <row r="19" spans="1:11" ht="15">
      <c r="A19" s="39" t="s">
        <v>23</v>
      </c>
      <c r="B19" s="86">
        <f>SUM(B12:B18)</f>
        <v>277767631.42</v>
      </c>
      <c r="C19" s="86">
        <f>SUM(C12:C18)</f>
        <v>182942584.89999998</v>
      </c>
      <c r="D19" s="8"/>
      <c r="E19" s="8"/>
      <c r="F19" s="8"/>
      <c r="G19" s="81">
        <f>SUM(B19:F19)</f>
        <v>460710216.32</v>
      </c>
      <c r="H19" s="82"/>
      <c r="I19" s="80"/>
      <c r="J19">
        <v>2014</v>
      </c>
      <c r="K19" s="4">
        <v>25751090</v>
      </c>
    </row>
    <row r="20" spans="1:11" ht="15">
      <c r="A20" s="39" t="s">
        <v>24</v>
      </c>
      <c r="B20" s="8"/>
      <c r="C20" s="8"/>
      <c r="D20" s="8"/>
      <c r="E20" s="8"/>
      <c r="F20" s="8"/>
      <c r="G20" s="81"/>
      <c r="H20" s="82"/>
      <c r="I20" s="80"/>
      <c r="J20">
        <v>2015</v>
      </c>
      <c r="K20" s="4">
        <v>31603481.5</v>
      </c>
    </row>
    <row r="21" spans="1:11" ht="15">
      <c r="A21" s="40" t="s">
        <v>25</v>
      </c>
      <c r="B21" s="8"/>
      <c r="C21" s="8"/>
      <c r="D21" s="8"/>
      <c r="E21" s="8"/>
      <c r="F21" s="8"/>
      <c r="G21" s="81"/>
      <c r="H21" s="82"/>
      <c r="I21" s="80"/>
      <c r="J21">
        <v>2016</v>
      </c>
      <c r="K21" s="4">
        <v>60262141.58</v>
      </c>
    </row>
    <row r="22" spans="1:11" ht="15">
      <c r="A22" s="40" t="s">
        <v>26</v>
      </c>
      <c r="B22" s="8"/>
      <c r="C22" s="8"/>
      <c r="D22" s="8"/>
      <c r="E22" s="8"/>
      <c r="F22" s="8"/>
      <c r="G22" s="81"/>
      <c r="H22" s="82"/>
      <c r="I22" s="80"/>
      <c r="J22">
        <v>2017</v>
      </c>
      <c r="K22" s="4">
        <v>45433875.53</v>
      </c>
    </row>
    <row r="23" spans="1:11" ht="15">
      <c r="A23" s="40" t="s">
        <v>27</v>
      </c>
      <c r="B23" s="8"/>
      <c r="C23" s="8"/>
      <c r="D23" s="8"/>
      <c r="E23" s="8"/>
      <c r="F23" s="8"/>
      <c r="G23" s="81"/>
      <c r="H23" s="82"/>
      <c r="I23" s="80"/>
      <c r="J23">
        <v>2018</v>
      </c>
      <c r="K23" s="4">
        <v>65575707.21</v>
      </c>
    </row>
    <row r="24" spans="1:9" ht="15" hidden="1">
      <c r="A24" s="40" t="s">
        <v>28</v>
      </c>
      <c r="B24" s="8"/>
      <c r="C24" s="8"/>
      <c r="D24" s="8"/>
      <c r="E24" s="8"/>
      <c r="F24" s="8"/>
      <c r="G24" s="81"/>
      <c r="H24" s="82"/>
      <c r="I24" s="80"/>
    </row>
    <row r="25" spans="1:11" ht="15.75" thickBot="1">
      <c r="A25" s="40" t="s">
        <v>45</v>
      </c>
      <c r="B25" s="8"/>
      <c r="C25" s="8"/>
      <c r="D25" s="8"/>
      <c r="E25" s="8"/>
      <c r="F25" s="8"/>
      <c r="G25" s="81"/>
      <c r="H25" s="82"/>
      <c r="I25" s="80"/>
      <c r="K25" s="148">
        <f>SUM(K19:K24)</f>
        <v>228626295.82000002</v>
      </c>
    </row>
    <row r="26" spans="1:9" ht="15.75" thickTop="1">
      <c r="A26" s="40" t="s">
        <v>46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81</v>
      </c>
      <c r="B27" s="8"/>
      <c r="C27" s="8"/>
      <c r="D27" s="8"/>
      <c r="E27" s="8"/>
      <c r="F27" s="8"/>
      <c r="G27" s="81"/>
      <c r="H27" s="82"/>
      <c r="I27" s="80"/>
    </row>
    <row r="28" spans="1:9" ht="15">
      <c r="A28" s="40" t="s">
        <v>89</v>
      </c>
      <c r="B28" s="8"/>
      <c r="C28" s="8"/>
      <c r="D28" s="8"/>
      <c r="E28" s="8"/>
      <c r="F28" s="8"/>
      <c r="G28" s="81"/>
      <c r="H28" s="82"/>
      <c r="I28" s="80"/>
    </row>
    <row r="29" spans="1:9" ht="15">
      <c r="A29" s="40" t="s">
        <v>90</v>
      </c>
      <c r="B29" s="8"/>
      <c r="C29" s="8"/>
      <c r="D29" s="8"/>
      <c r="E29" s="8"/>
      <c r="F29" s="8"/>
      <c r="G29" s="81"/>
      <c r="H29" s="82"/>
      <c r="I29" s="80"/>
    </row>
    <row r="30" spans="1:9" ht="15">
      <c r="A30" s="40" t="s">
        <v>91</v>
      </c>
      <c r="B30" s="8"/>
      <c r="C30" s="8"/>
      <c r="D30" s="8"/>
      <c r="E30" s="8"/>
      <c r="F30" s="8"/>
      <c r="G30" s="81"/>
      <c r="H30" s="82"/>
      <c r="I30" s="80"/>
    </row>
    <row r="31" spans="1:9" ht="15" customHeight="1" hidden="1">
      <c r="A31" s="41" t="s">
        <v>30</v>
      </c>
      <c r="B31" s="8"/>
      <c r="C31" s="8"/>
      <c r="D31" s="8"/>
      <c r="E31" s="8"/>
      <c r="F31" s="8"/>
      <c r="G31" s="81"/>
      <c r="H31" s="82"/>
      <c r="I31" s="80"/>
    </row>
    <row r="32" spans="1:9" ht="15" customHeight="1">
      <c r="A32" s="40" t="s">
        <v>92</v>
      </c>
      <c r="B32" s="8"/>
      <c r="C32" s="8"/>
      <c r="D32" s="8"/>
      <c r="E32" s="8"/>
      <c r="F32" s="8"/>
      <c r="G32" s="81"/>
      <c r="H32" s="82"/>
      <c r="I32" s="80"/>
    </row>
    <row r="33" spans="1:9" ht="15">
      <c r="A33" s="42" t="s">
        <v>31</v>
      </c>
      <c r="B33" s="8"/>
      <c r="C33" s="8"/>
      <c r="D33" s="8"/>
      <c r="E33" s="8"/>
      <c r="F33" s="8"/>
      <c r="G33" s="81"/>
      <c r="H33" s="82"/>
      <c r="I33" s="80"/>
    </row>
    <row r="34" spans="1:9" ht="15">
      <c r="A34" s="40" t="s">
        <v>32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33</v>
      </c>
      <c r="B35" s="8"/>
      <c r="C35" s="8"/>
      <c r="D35" s="8"/>
      <c r="E35" s="8"/>
      <c r="F35" s="8"/>
      <c r="G35" s="81"/>
      <c r="H35" s="82"/>
      <c r="I35" s="80"/>
    </row>
    <row r="36" spans="1:9" ht="15">
      <c r="A36" s="40" t="s">
        <v>34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39" t="s">
        <v>35</v>
      </c>
      <c r="B37" s="86">
        <f>+SUM(B20:B36)</f>
        <v>0</v>
      </c>
      <c r="C37" s="86">
        <f>+SUM(C20:C36)</f>
        <v>0</v>
      </c>
      <c r="D37" s="8"/>
      <c r="E37" s="8"/>
      <c r="F37" s="8"/>
      <c r="G37" s="89"/>
      <c r="H37" s="82"/>
      <c r="I37" s="80"/>
    </row>
    <row r="38" spans="1:9" ht="15.75" thickBot="1">
      <c r="A38" s="44" t="s">
        <v>36</v>
      </c>
      <c r="B38" s="90">
        <f>+B19-B37</f>
        <v>277767631.42</v>
      </c>
      <c r="C38" s="90">
        <f>+C19-C37</f>
        <v>182942584.89999998</v>
      </c>
      <c r="D38" s="91"/>
      <c r="E38" s="91"/>
      <c r="F38" s="91"/>
      <c r="G38" s="92">
        <f>+G19</f>
        <v>460710216.32</v>
      </c>
      <c r="H38" s="82"/>
      <c r="I38" s="80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4" t="s">
        <v>151</v>
      </c>
      <c r="B40" s="21"/>
      <c r="C40" s="21"/>
      <c r="D40" s="7"/>
      <c r="E40" s="7"/>
      <c r="F40" s="7"/>
      <c r="G40" s="21"/>
      <c r="H40" s="7"/>
      <c r="I40" s="22"/>
    </row>
    <row r="41" spans="1:7" ht="15">
      <c r="A41" s="24"/>
      <c r="D41" s="24"/>
      <c r="E41" s="24"/>
      <c r="F41" s="24"/>
      <c r="G41" s="24"/>
    </row>
    <row r="42" spans="4:7" ht="15">
      <c r="D42" s="24"/>
      <c r="E42" s="24"/>
      <c r="F42" s="24"/>
      <c r="G42" s="24"/>
    </row>
    <row r="43" spans="1:7" ht="15">
      <c r="A43" s="23" t="s">
        <v>147</v>
      </c>
      <c r="C43" s="24"/>
      <c r="D43" s="24"/>
      <c r="E43" s="24"/>
      <c r="F43" s="24"/>
      <c r="G43" s="24"/>
    </row>
    <row r="44" spans="1:7" ht="15">
      <c r="A44" s="23" t="s">
        <v>148</v>
      </c>
      <c r="C44" s="24"/>
      <c r="D44" s="24"/>
      <c r="E44" s="24"/>
      <c r="F44" s="24"/>
      <c r="G44" s="24"/>
    </row>
    <row r="45" spans="3:7" ht="15">
      <c r="C45" s="24"/>
      <c r="D45" s="24"/>
      <c r="E45" s="24"/>
      <c r="F45" s="24"/>
      <c r="G45" s="24"/>
    </row>
    <row r="46" ht="14.25" customHeight="1"/>
    <row r="47" ht="14.25" customHeight="1"/>
    <row r="48" ht="14.25" customHeight="1"/>
    <row r="49" ht="14.25" customHeight="1"/>
    <row r="50" ht="14.25" customHeight="1"/>
    <row r="51" spans="2:11" ht="15" customHeight="1">
      <c r="B51" s="22"/>
      <c r="C51" s="22"/>
      <c r="F51" s="220" t="s">
        <v>70</v>
      </c>
      <c r="G51" s="221"/>
      <c r="H51" s="26"/>
      <c r="I51" s="26"/>
      <c r="K51" t="s">
        <v>41</v>
      </c>
    </row>
    <row r="52" spans="2:11" ht="15" customHeight="1">
      <c r="B52" s="186"/>
      <c r="C52" s="186"/>
      <c r="F52" s="219" t="s">
        <v>156</v>
      </c>
      <c r="G52" s="219"/>
      <c r="H52" s="27"/>
      <c r="I52" s="27"/>
      <c r="K52" t="s">
        <v>150</v>
      </c>
    </row>
    <row r="53" spans="2:9" ht="15" customHeight="1">
      <c r="B53" s="186"/>
      <c r="C53" s="186"/>
      <c r="F53" s="219"/>
      <c r="G53" s="219"/>
      <c r="H53" s="27"/>
      <c r="I53" s="27"/>
    </row>
    <row r="54" spans="1:9" s="19" customFormat="1" ht="15">
      <c r="A54"/>
      <c r="B54"/>
      <c r="C54"/>
      <c r="D54"/>
      <c r="E54"/>
      <c r="F54"/>
      <c r="G54"/>
      <c r="H54"/>
      <c r="I54"/>
    </row>
    <row r="56" spans="1:9" s="19" customFormat="1" ht="15">
      <c r="A56"/>
      <c r="B56"/>
      <c r="D56"/>
      <c r="E56"/>
      <c r="F56"/>
      <c r="G56"/>
      <c r="H56"/>
      <c r="I56"/>
    </row>
    <row r="57" spans="1:9" s="19" customFormat="1" ht="15">
      <c r="A57"/>
      <c r="B57"/>
      <c r="C57" s="4"/>
      <c r="D57"/>
      <c r="E57"/>
      <c r="F57"/>
      <c r="G57"/>
      <c r="H57"/>
      <c r="I57"/>
    </row>
  </sheetData>
  <sheetProtection/>
  <mergeCells count="18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B53:C53"/>
    <mergeCell ref="F53:G53"/>
    <mergeCell ref="B14:B16"/>
    <mergeCell ref="C14:C16"/>
    <mergeCell ref="G14:G16"/>
    <mergeCell ref="F51:G51"/>
    <mergeCell ref="B52:C52"/>
    <mergeCell ref="F52:G52"/>
  </mergeCells>
  <printOptions horizontalCentered="1"/>
  <pageMargins left="0.25" right="0.25" top="0.75" bottom="0.75" header="0.3" footer="0.3"/>
  <pageSetup fitToHeight="0" fitToWidth="0" horizontalDpi="360" verticalDpi="36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7"/>
  <sheetViews>
    <sheetView zoomScale="90" zoomScaleNormal="90" zoomScalePageLayoutView="0" workbookViewId="0" topLeftCell="A1">
      <pane ySplit="10" topLeftCell="A14" activePane="bottomLeft" state="frozen"/>
      <selection pane="topLeft" activeCell="F51" sqref="F51:G52"/>
      <selection pane="bottomLeft" activeCell="F51" sqref="F51:G52"/>
    </sheetView>
  </sheetViews>
  <sheetFormatPr defaultColWidth="9.140625" defaultRowHeight="15"/>
  <cols>
    <col min="1" max="1" width="64.00390625" style="0" customWidth="1"/>
    <col min="2" max="3" width="16.00390625" style="0" customWidth="1"/>
    <col min="4" max="6" width="9.71093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21.421875" style="0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153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12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117">
        <v>3276089043</v>
      </c>
      <c r="L11" s="97"/>
    </row>
    <row r="12" spans="1:12" s="97" customFormat="1" ht="15">
      <c r="A12" s="40" t="s">
        <v>68</v>
      </c>
      <c r="B12" s="8">
        <f>+K12*0.3</f>
        <v>49141335.6</v>
      </c>
      <c r="C12" s="8">
        <f>+K12*0.7</f>
        <v>114663116.39999999</v>
      </c>
      <c r="D12" s="8"/>
      <c r="E12" s="8"/>
      <c r="F12" s="8"/>
      <c r="G12" s="81">
        <f>+B12+C12</f>
        <v>163804452</v>
      </c>
      <c r="H12" s="82"/>
      <c r="I12" s="80"/>
      <c r="K12" s="19">
        <v>163804452</v>
      </c>
      <c r="L12"/>
    </row>
    <row r="13" spans="1:12" ht="15">
      <c r="A13" s="40" t="s">
        <v>146</v>
      </c>
      <c r="B13" s="8"/>
      <c r="C13" s="8">
        <v>68279468.5</v>
      </c>
      <c r="D13" s="8"/>
      <c r="E13" s="8"/>
      <c r="F13" s="8"/>
      <c r="G13" s="81">
        <f>+C13</f>
        <v>68279468.5</v>
      </c>
      <c r="H13" s="82"/>
      <c r="I13" s="80"/>
      <c r="K13" s="19">
        <f>+K12*0.7</f>
        <v>114663116.39999999</v>
      </c>
      <c r="L13">
        <v>70</v>
      </c>
    </row>
    <row r="14" spans="1:12" ht="15">
      <c r="A14" s="41" t="s">
        <v>17</v>
      </c>
      <c r="B14" s="189">
        <f>+K25</f>
        <v>228626295.82000002</v>
      </c>
      <c r="C14" s="189"/>
      <c r="D14" s="10"/>
      <c r="E14" s="83"/>
      <c r="F14" s="83"/>
      <c r="G14" s="192">
        <f>+B14</f>
        <v>228626295.82000002</v>
      </c>
      <c r="H14" s="82"/>
      <c r="I14" s="80"/>
      <c r="K14" s="19">
        <f>+K12*0.3</f>
        <v>49141335.6</v>
      </c>
      <c r="L14">
        <v>30</v>
      </c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149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21</v>
      </c>
      <c r="B17" s="84"/>
      <c r="C17" s="84"/>
      <c r="D17" s="84"/>
      <c r="E17" s="84"/>
      <c r="F17" s="84"/>
      <c r="G17" s="85"/>
      <c r="H17" s="82"/>
      <c r="I17" s="80"/>
    </row>
    <row r="18" spans="1:9" s="16" customFormat="1" ht="15" hidden="1">
      <c r="A18" s="40" t="s">
        <v>22</v>
      </c>
      <c r="B18" s="8"/>
      <c r="C18" s="8"/>
      <c r="D18" s="8"/>
      <c r="E18" s="8"/>
      <c r="F18" s="8"/>
      <c r="G18" s="81"/>
      <c r="H18" s="82"/>
      <c r="I18" s="80"/>
    </row>
    <row r="19" spans="1:11" ht="15">
      <c r="A19" s="39" t="s">
        <v>23</v>
      </c>
      <c r="B19" s="86">
        <f>SUM(B12:B18)</f>
        <v>277767631.42</v>
      </c>
      <c r="C19" s="86">
        <f>SUM(C12:C18)</f>
        <v>182942584.89999998</v>
      </c>
      <c r="D19" s="8"/>
      <c r="E19" s="8"/>
      <c r="F19" s="8"/>
      <c r="G19" s="81">
        <f>SUM(B19:F19)</f>
        <v>460710216.32</v>
      </c>
      <c r="H19" s="82"/>
      <c r="I19" s="80"/>
      <c r="J19">
        <v>2014</v>
      </c>
      <c r="K19" s="4">
        <v>25751090</v>
      </c>
    </row>
    <row r="20" spans="1:11" ht="15">
      <c r="A20" s="39" t="s">
        <v>24</v>
      </c>
      <c r="B20" s="8"/>
      <c r="C20" s="8"/>
      <c r="D20" s="8"/>
      <c r="E20" s="8"/>
      <c r="F20" s="8"/>
      <c r="G20" s="81"/>
      <c r="H20" s="82"/>
      <c r="I20" s="80"/>
      <c r="J20">
        <v>2015</v>
      </c>
      <c r="K20" s="4">
        <v>31603481.5</v>
      </c>
    </row>
    <row r="21" spans="1:11" ht="15">
      <c r="A21" s="40" t="s">
        <v>25</v>
      </c>
      <c r="B21" s="8"/>
      <c r="C21" s="8"/>
      <c r="D21" s="8"/>
      <c r="E21" s="8"/>
      <c r="F21" s="8"/>
      <c r="G21" s="81"/>
      <c r="H21" s="82"/>
      <c r="I21" s="80"/>
      <c r="J21">
        <v>2016</v>
      </c>
      <c r="K21" s="4">
        <v>60262141.58</v>
      </c>
    </row>
    <row r="22" spans="1:11" ht="15">
      <c r="A22" s="40" t="s">
        <v>26</v>
      </c>
      <c r="B22" s="8"/>
      <c r="C22" s="8"/>
      <c r="D22" s="8"/>
      <c r="E22" s="8"/>
      <c r="F22" s="8"/>
      <c r="G22" s="81"/>
      <c r="H22" s="82"/>
      <c r="I22" s="80"/>
      <c r="J22">
        <v>2017</v>
      </c>
      <c r="K22" s="4">
        <v>45433875.53</v>
      </c>
    </row>
    <row r="23" spans="1:11" ht="15">
      <c r="A23" s="40" t="s">
        <v>27</v>
      </c>
      <c r="B23" s="8"/>
      <c r="C23" s="8"/>
      <c r="D23" s="8"/>
      <c r="E23" s="8"/>
      <c r="F23" s="8"/>
      <c r="G23" s="81"/>
      <c r="H23" s="82"/>
      <c r="I23" s="80"/>
      <c r="J23">
        <v>2018</v>
      </c>
      <c r="K23" s="4">
        <v>65575707.21</v>
      </c>
    </row>
    <row r="24" spans="1:9" ht="15" hidden="1">
      <c r="A24" s="40" t="s">
        <v>28</v>
      </c>
      <c r="B24" s="8"/>
      <c r="C24" s="8"/>
      <c r="D24" s="8"/>
      <c r="E24" s="8"/>
      <c r="F24" s="8"/>
      <c r="G24" s="81"/>
      <c r="H24" s="82"/>
      <c r="I24" s="80"/>
    </row>
    <row r="25" spans="1:11" ht="15.75" thickBot="1">
      <c r="A25" s="40" t="s">
        <v>45</v>
      </c>
      <c r="B25" s="8"/>
      <c r="C25" s="8"/>
      <c r="D25" s="8"/>
      <c r="E25" s="8"/>
      <c r="F25" s="8"/>
      <c r="G25" s="81"/>
      <c r="H25" s="82"/>
      <c r="I25" s="80"/>
      <c r="K25" s="148">
        <f>SUM(K19:K24)</f>
        <v>228626295.82000002</v>
      </c>
    </row>
    <row r="26" spans="1:9" ht="15.75" thickTop="1">
      <c r="A26" s="40" t="s">
        <v>46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81</v>
      </c>
      <c r="B27" s="8"/>
      <c r="C27" s="8"/>
      <c r="D27" s="8"/>
      <c r="E27" s="8"/>
      <c r="F27" s="8"/>
      <c r="G27" s="81"/>
      <c r="H27" s="82"/>
      <c r="I27" s="80"/>
    </row>
    <row r="28" spans="1:9" ht="15">
      <c r="A28" s="40" t="s">
        <v>89</v>
      </c>
      <c r="B28" s="8"/>
      <c r="C28" s="8"/>
      <c r="D28" s="8"/>
      <c r="E28" s="8"/>
      <c r="F28" s="8"/>
      <c r="G28" s="81"/>
      <c r="H28" s="82"/>
      <c r="I28" s="80"/>
    </row>
    <row r="29" spans="1:9" ht="15">
      <c r="A29" s="40" t="s">
        <v>90</v>
      </c>
      <c r="B29" s="8"/>
      <c r="C29" s="8"/>
      <c r="D29" s="8"/>
      <c r="E29" s="8"/>
      <c r="F29" s="8"/>
      <c r="G29" s="81"/>
      <c r="H29" s="82"/>
      <c r="I29" s="80"/>
    </row>
    <row r="30" spans="1:9" ht="15">
      <c r="A30" s="40" t="s">
        <v>91</v>
      </c>
      <c r="B30" s="8"/>
      <c r="C30" s="8"/>
      <c r="D30" s="8"/>
      <c r="E30" s="8"/>
      <c r="F30" s="8"/>
      <c r="G30" s="81"/>
      <c r="H30" s="82"/>
      <c r="I30" s="80"/>
    </row>
    <row r="31" spans="1:9" ht="15" customHeight="1" hidden="1">
      <c r="A31" s="41" t="s">
        <v>30</v>
      </c>
      <c r="B31" s="8"/>
      <c r="C31" s="8"/>
      <c r="D31" s="8"/>
      <c r="E31" s="8"/>
      <c r="F31" s="8"/>
      <c r="G31" s="81"/>
      <c r="H31" s="82"/>
      <c r="I31" s="80"/>
    </row>
    <row r="32" spans="1:9" ht="15" customHeight="1">
      <c r="A32" s="40" t="s">
        <v>92</v>
      </c>
      <c r="B32" s="8"/>
      <c r="C32" s="8"/>
      <c r="D32" s="8"/>
      <c r="E32" s="8"/>
      <c r="F32" s="8"/>
      <c r="G32" s="81"/>
      <c r="H32" s="82"/>
      <c r="I32" s="80"/>
    </row>
    <row r="33" spans="1:9" ht="15">
      <c r="A33" s="42" t="s">
        <v>31</v>
      </c>
      <c r="B33" s="8"/>
      <c r="C33" s="8"/>
      <c r="D33" s="8"/>
      <c r="E33" s="8"/>
      <c r="F33" s="8"/>
      <c r="G33" s="81"/>
      <c r="H33" s="82"/>
      <c r="I33" s="80"/>
    </row>
    <row r="34" spans="1:9" ht="15">
      <c r="A34" s="40" t="s">
        <v>32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33</v>
      </c>
      <c r="B35" s="8"/>
      <c r="C35" s="8"/>
      <c r="D35" s="8"/>
      <c r="E35" s="8"/>
      <c r="F35" s="8"/>
      <c r="G35" s="81"/>
      <c r="H35" s="82"/>
      <c r="I35" s="80"/>
    </row>
    <row r="36" spans="1:9" ht="15">
      <c r="A36" s="40" t="s">
        <v>34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39" t="s">
        <v>35</v>
      </c>
      <c r="B37" s="86">
        <f>+SUM(B20:B36)</f>
        <v>0</v>
      </c>
      <c r="C37" s="86">
        <f>+SUM(C20:C36)</f>
        <v>0</v>
      </c>
      <c r="D37" s="8"/>
      <c r="E37" s="8"/>
      <c r="F37" s="8"/>
      <c r="G37" s="89"/>
      <c r="H37" s="82"/>
      <c r="I37" s="80"/>
    </row>
    <row r="38" spans="1:9" ht="15.75" thickBot="1">
      <c r="A38" s="44" t="s">
        <v>36</v>
      </c>
      <c r="B38" s="90">
        <f>+B19-B37</f>
        <v>277767631.42</v>
      </c>
      <c r="C38" s="90">
        <f>+C19-C37</f>
        <v>182942584.89999998</v>
      </c>
      <c r="D38" s="91"/>
      <c r="E38" s="91"/>
      <c r="F38" s="91"/>
      <c r="G38" s="92">
        <f>+G19</f>
        <v>460710216.32</v>
      </c>
      <c r="H38" s="82"/>
      <c r="I38" s="80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4" t="s">
        <v>151</v>
      </c>
      <c r="B40" s="21"/>
      <c r="C40" s="21"/>
      <c r="D40" s="7"/>
      <c r="E40" s="7"/>
      <c r="F40" s="7"/>
      <c r="G40" s="21"/>
      <c r="H40" s="7"/>
      <c r="I40" s="22"/>
    </row>
    <row r="41" spans="1:7" ht="15">
      <c r="A41" s="24"/>
      <c r="D41" s="24"/>
      <c r="E41" s="24"/>
      <c r="F41" s="24"/>
      <c r="G41" s="24"/>
    </row>
    <row r="42" spans="4:7" ht="15">
      <c r="D42" s="24"/>
      <c r="E42" s="24"/>
      <c r="F42" s="24"/>
      <c r="G42" s="24"/>
    </row>
    <row r="43" spans="1:7" ht="15">
      <c r="A43" s="23" t="s">
        <v>147</v>
      </c>
      <c r="C43" s="24"/>
      <c r="D43" s="24"/>
      <c r="E43" s="24"/>
      <c r="F43" s="24"/>
      <c r="G43" s="24"/>
    </row>
    <row r="44" spans="1:7" ht="15">
      <c r="A44" s="23" t="s">
        <v>148</v>
      </c>
      <c r="C44" s="24"/>
      <c r="D44" s="24"/>
      <c r="E44" s="24"/>
      <c r="F44" s="24"/>
      <c r="G44" s="24"/>
    </row>
    <row r="45" spans="3:7" ht="15">
      <c r="C45" s="24"/>
      <c r="D45" s="24"/>
      <c r="E45" s="24"/>
      <c r="F45" s="24"/>
      <c r="G45" s="24"/>
    </row>
    <row r="46" ht="14.25" customHeight="1"/>
    <row r="47" ht="14.25" customHeight="1"/>
    <row r="48" ht="14.25" customHeight="1"/>
    <row r="49" ht="14.25" customHeight="1"/>
    <row r="50" ht="14.25" customHeight="1"/>
    <row r="51" spans="2:11" ht="15" customHeight="1">
      <c r="B51" s="22"/>
      <c r="C51" s="22"/>
      <c r="F51" s="220" t="s">
        <v>70</v>
      </c>
      <c r="G51" s="221"/>
      <c r="H51" s="26"/>
      <c r="I51" s="26"/>
      <c r="K51" t="s">
        <v>41</v>
      </c>
    </row>
    <row r="52" spans="2:11" ht="15" customHeight="1">
      <c r="B52" s="186"/>
      <c r="C52" s="186"/>
      <c r="F52" s="219" t="s">
        <v>156</v>
      </c>
      <c r="G52" s="219"/>
      <c r="H52" s="27"/>
      <c r="I52" s="27"/>
      <c r="K52" t="s">
        <v>150</v>
      </c>
    </row>
    <row r="53" spans="2:9" ht="15" customHeight="1">
      <c r="B53" s="186"/>
      <c r="C53" s="186"/>
      <c r="F53" s="219"/>
      <c r="G53" s="219"/>
      <c r="H53" s="27"/>
      <c r="I53" s="27"/>
    </row>
    <row r="54" spans="1:9" s="19" customFormat="1" ht="15">
      <c r="A54"/>
      <c r="B54"/>
      <c r="C54"/>
      <c r="D54"/>
      <c r="E54"/>
      <c r="F54"/>
      <c r="G54"/>
      <c r="H54"/>
      <c r="I54"/>
    </row>
    <row r="56" spans="1:9" s="19" customFormat="1" ht="15">
      <c r="A56"/>
      <c r="B56"/>
      <c r="D56"/>
      <c r="E56"/>
      <c r="F56"/>
      <c r="G56"/>
      <c r="H56"/>
      <c r="I56"/>
    </row>
    <row r="57" spans="1:9" s="19" customFormat="1" ht="15">
      <c r="A57"/>
      <c r="B57"/>
      <c r="C57" s="4"/>
      <c r="D57"/>
      <c r="E57"/>
      <c r="F57"/>
      <c r="G57"/>
      <c r="H57"/>
      <c r="I57"/>
    </row>
  </sheetData>
  <sheetProtection/>
  <mergeCells count="18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B53:C53"/>
    <mergeCell ref="F53:G53"/>
    <mergeCell ref="B14:B16"/>
    <mergeCell ref="C14:C16"/>
    <mergeCell ref="G14:G16"/>
    <mergeCell ref="F51:G51"/>
    <mergeCell ref="B52:C52"/>
    <mergeCell ref="F52:G52"/>
  </mergeCells>
  <printOptions horizontalCentered="1"/>
  <pageMargins left="0.25" right="0.25" top="0.75" bottom="0.75" header="0.3" footer="0.3"/>
  <pageSetup fitToHeight="0" fitToWidth="0" horizontalDpi="360" verticalDpi="36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7"/>
  <sheetViews>
    <sheetView zoomScale="90" zoomScaleNormal="90" zoomScalePageLayoutView="0" workbookViewId="0" topLeftCell="A1">
      <pane ySplit="10" topLeftCell="A11" activePane="bottomLeft" state="frozen"/>
      <selection pane="topLeft" activeCell="F51" sqref="F51:G52"/>
      <selection pane="bottomLeft" activeCell="F51" sqref="F51:G52"/>
    </sheetView>
  </sheetViews>
  <sheetFormatPr defaultColWidth="9.140625" defaultRowHeight="15"/>
  <cols>
    <col min="1" max="1" width="64.00390625" style="0" customWidth="1"/>
    <col min="2" max="3" width="16.00390625" style="0" customWidth="1"/>
    <col min="4" max="6" width="9.71093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21.421875" style="0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153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12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117">
        <v>3276089043</v>
      </c>
      <c r="L11" s="150" t="s">
        <v>154</v>
      </c>
    </row>
    <row r="12" spans="1:12" s="97" customFormat="1" ht="15">
      <c r="A12" s="40" t="s">
        <v>68</v>
      </c>
      <c r="B12" s="8">
        <f>+K12*0.3</f>
        <v>49141335.6</v>
      </c>
      <c r="C12" s="8">
        <f>+K12*0.7</f>
        <v>114663116.39999999</v>
      </c>
      <c r="D12" s="8"/>
      <c r="E12" s="8"/>
      <c r="F12" s="8"/>
      <c r="G12" s="81">
        <f>+B12+C12</f>
        <v>163804452</v>
      </c>
      <c r="H12" s="82"/>
      <c r="I12" s="80"/>
      <c r="K12" s="19">
        <v>163804452</v>
      </c>
      <c r="L12" s="149">
        <v>0.05</v>
      </c>
    </row>
    <row r="13" spans="1:12" ht="15">
      <c r="A13" s="40" t="s">
        <v>146</v>
      </c>
      <c r="B13" s="8"/>
      <c r="C13" s="8">
        <v>68279468.5</v>
      </c>
      <c r="D13" s="8"/>
      <c r="E13" s="8"/>
      <c r="F13" s="8"/>
      <c r="G13" s="81">
        <f>+C13</f>
        <v>68279468.5</v>
      </c>
      <c r="H13" s="82"/>
      <c r="I13" s="80"/>
      <c r="K13" s="19">
        <f>+K12*0.7</f>
        <v>114663116.39999999</v>
      </c>
      <c r="L13">
        <v>70</v>
      </c>
    </row>
    <row r="14" spans="1:12" ht="15">
      <c r="A14" s="41" t="s">
        <v>17</v>
      </c>
      <c r="B14" s="189">
        <f>+K25</f>
        <v>228626295.82000002</v>
      </c>
      <c r="C14" s="189"/>
      <c r="D14" s="10"/>
      <c r="E14" s="83"/>
      <c r="F14" s="83"/>
      <c r="G14" s="192">
        <f>+B14</f>
        <v>228626295.82000002</v>
      </c>
      <c r="H14" s="82"/>
      <c r="I14" s="80"/>
      <c r="K14" s="19">
        <f>+K12*0.3</f>
        <v>49141335.6</v>
      </c>
      <c r="L14">
        <v>30</v>
      </c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149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21</v>
      </c>
      <c r="B17" s="84"/>
      <c r="C17" s="84"/>
      <c r="D17" s="84"/>
      <c r="E17" s="84"/>
      <c r="F17" s="84"/>
      <c r="G17" s="85"/>
      <c r="H17" s="82"/>
      <c r="I17" s="80"/>
    </row>
    <row r="18" spans="1:9" s="16" customFormat="1" ht="15" hidden="1">
      <c r="A18" s="40" t="s">
        <v>22</v>
      </c>
      <c r="B18" s="8"/>
      <c r="C18" s="8"/>
      <c r="D18" s="8"/>
      <c r="E18" s="8"/>
      <c r="F18" s="8"/>
      <c r="G18" s="81"/>
      <c r="H18" s="82"/>
      <c r="I18" s="80"/>
    </row>
    <row r="19" spans="1:11" ht="15">
      <c r="A19" s="39" t="s">
        <v>23</v>
      </c>
      <c r="B19" s="86">
        <f>SUM(B12:B18)</f>
        <v>277767631.42</v>
      </c>
      <c r="C19" s="86">
        <f>SUM(C12:C18)</f>
        <v>182942584.89999998</v>
      </c>
      <c r="D19" s="8"/>
      <c r="E19" s="8"/>
      <c r="F19" s="8"/>
      <c r="G19" s="81">
        <f>SUM(B19:F19)</f>
        <v>460710216.32</v>
      </c>
      <c r="H19" s="82"/>
      <c r="I19" s="80"/>
      <c r="J19">
        <v>2014</v>
      </c>
      <c r="K19" s="4">
        <v>25751090</v>
      </c>
    </row>
    <row r="20" spans="1:11" ht="15">
      <c r="A20" s="39" t="s">
        <v>24</v>
      </c>
      <c r="B20" s="8"/>
      <c r="C20" s="8"/>
      <c r="D20" s="8"/>
      <c r="E20" s="8"/>
      <c r="F20" s="8"/>
      <c r="G20" s="81"/>
      <c r="H20" s="82"/>
      <c r="I20" s="80"/>
      <c r="J20">
        <v>2015</v>
      </c>
      <c r="K20" s="4">
        <v>31603481.5</v>
      </c>
    </row>
    <row r="21" spans="1:11" ht="15">
      <c r="A21" s="40" t="s">
        <v>25</v>
      </c>
      <c r="B21" s="8"/>
      <c r="C21" s="8"/>
      <c r="D21" s="8"/>
      <c r="E21" s="8"/>
      <c r="F21" s="8"/>
      <c r="G21" s="81"/>
      <c r="H21" s="82"/>
      <c r="I21" s="80"/>
      <c r="J21">
        <v>2016</v>
      </c>
      <c r="K21" s="4">
        <v>60262141.58</v>
      </c>
    </row>
    <row r="22" spans="1:11" ht="15">
      <c r="A22" s="40" t="s">
        <v>26</v>
      </c>
      <c r="B22" s="8"/>
      <c r="C22" s="8"/>
      <c r="D22" s="8"/>
      <c r="E22" s="8"/>
      <c r="F22" s="8"/>
      <c r="G22" s="81"/>
      <c r="H22" s="82"/>
      <c r="I22" s="80"/>
      <c r="J22">
        <v>2017</v>
      </c>
      <c r="K22" s="4">
        <v>45433875.53</v>
      </c>
    </row>
    <row r="23" spans="1:11" ht="15">
      <c r="A23" s="40" t="s">
        <v>27</v>
      </c>
      <c r="B23" s="8"/>
      <c r="C23" s="8"/>
      <c r="D23" s="8"/>
      <c r="E23" s="8"/>
      <c r="F23" s="8"/>
      <c r="G23" s="81"/>
      <c r="H23" s="82"/>
      <c r="I23" s="80"/>
      <c r="J23">
        <v>2018</v>
      </c>
      <c r="K23" s="4">
        <v>65575707.21</v>
      </c>
    </row>
    <row r="24" spans="1:9" ht="15" hidden="1">
      <c r="A24" s="40" t="s">
        <v>28</v>
      </c>
      <c r="B24" s="8"/>
      <c r="C24" s="8"/>
      <c r="D24" s="8"/>
      <c r="E24" s="8"/>
      <c r="F24" s="8"/>
      <c r="G24" s="81"/>
      <c r="H24" s="82"/>
      <c r="I24" s="80"/>
    </row>
    <row r="25" spans="1:11" ht="15.75" thickBot="1">
      <c r="A25" s="40" t="s">
        <v>45</v>
      </c>
      <c r="B25" s="8"/>
      <c r="C25" s="8"/>
      <c r="D25" s="8"/>
      <c r="E25" s="8"/>
      <c r="F25" s="8"/>
      <c r="G25" s="81"/>
      <c r="H25" s="82"/>
      <c r="I25" s="80"/>
      <c r="K25" s="148">
        <f>SUM(K19:K24)</f>
        <v>228626295.82000002</v>
      </c>
    </row>
    <row r="26" spans="1:9" ht="15.75" thickTop="1">
      <c r="A26" s="40" t="s">
        <v>46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81</v>
      </c>
      <c r="B27" s="8"/>
      <c r="C27" s="8">
        <v>4183.18</v>
      </c>
      <c r="D27" s="8"/>
      <c r="E27" s="8"/>
      <c r="F27" s="8"/>
      <c r="G27" s="81"/>
      <c r="H27" s="82"/>
      <c r="I27" s="80"/>
    </row>
    <row r="28" spans="1:11" ht="15">
      <c r="A28" s="40" t="s">
        <v>89</v>
      </c>
      <c r="B28" s="8"/>
      <c r="C28" s="8"/>
      <c r="D28" s="8"/>
      <c r="E28" s="8"/>
      <c r="F28" s="8"/>
      <c r="G28" s="81"/>
      <c r="H28" s="82"/>
      <c r="I28" s="80"/>
      <c r="K28" t="s">
        <v>155</v>
      </c>
    </row>
    <row r="29" spans="1:9" ht="15">
      <c r="A29" s="40" t="s">
        <v>90</v>
      </c>
      <c r="B29" s="8"/>
      <c r="C29" s="8"/>
      <c r="D29" s="8"/>
      <c r="E29" s="8"/>
      <c r="F29" s="8"/>
      <c r="G29" s="81"/>
      <c r="H29" s="82"/>
      <c r="I29" s="80"/>
    </row>
    <row r="30" spans="1:9" ht="15">
      <c r="A30" s="40" t="s">
        <v>91</v>
      </c>
      <c r="B30" s="8"/>
      <c r="C30" s="8"/>
      <c r="D30" s="8"/>
      <c r="E30" s="8"/>
      <c r="F30" s="8"/>
      <c r="G30" s="81"/>
      <c r="H30" s="82"/>
      <c r="I30" s="80"/>
    </row>
    <row r="31" spans="1:9" ht="15" customHeight="1" hidden="1">
      <c r="A31" s="41" t="s">
        <v>30</v>
      </c>
      <c r="B31" s="8"/>
      <c r="C31" s="8"/>
      <c r="D31" s="8"/>
      <c r="E31" s="8"/>
      <c r="F31" s="8"/>
      <c r="G31" s="81"/>
      <c r="H31" s="82"/>
      <c r="I31" s="80"/>
    </row>
    <row r="32" spans="1:9" ht="15" customHeight="1">
      <c r="A32" s="40" t="s">
        <v>92</v>
      </c>
      <c r="B32" s="8"/>
      <c r="C32" s="8"/>
      <c r="D32" s="8"/>
      <c r="E32" s="8"/>
      <c r="F32" s="8"/>
      <c r="G32" s="81"/>
      <c r="H32" s="82"/>
      <c r="I32" s="80"/>
    </row>
    <row r="33" spans="1:9" ht="15">
      <c r="A33" s="42" t="s">
        <v>31</v>
      </c>
      <c r="B33" s="8"/>
      <c r="C33" s="8"/>
      <c r="D33" s="8"/>
      <c r="E33" s="8"/>
      <c r="F33" s="8"/>
      <c r="G33" s="81"/>
      <c r="H33" s="82"/>
      <c r="I33" s="80"/>
    </row>
    <row r="34" spans="1:9" ht="15">
      <c r="A34" s="40" t="s">
        <v>32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33</v>
      </c>
      <c r="B35" s="8"/>
      <c r="C35" s="8"/>
      <c r="D35" s="8"/>
      <c r="E35" s="8"/>
      <c r="F35" s="8"/>
      <c r="G35" s="81"/>
      <c r="H35" s="82"/>
      <c r="I35" s="80"/>
    </row>
    <row r="36" spans="1:9" ht="15">
      <c r="A36" s="40" t="s">
        <v>34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39" t="s">
        <v>35</v>
      </c>
      <c r="B37" s="86">
        <f>+SUM(B20:B36)</f>
        <v>0</v>
      </c>
      <c r="C37" s="86">
        <f>+SUM(C20:C36)</f>
        <v>4183.18</v>
      </c>
      <c r="D37" s="8"/>
      <c r="E37" s="8"/>
      <c r="F37" s="8"/>
      <c r="G37" s="89"/>
      <c r="H37" s="82"/>
      <c r="I37" s="80"/>
    </row>
    <row r="38" spans="1:9" ht="15.75" thickBot="1">
      <c r="A38" s="44" t="s">
        <v>36</v>
      </c>
      <c r="B38" s="90">
        <f>+B19-B37</f>
        <v>277767631.42</v>
      </c>
      <c r="C38" s="90">
        <f>+C19-C37</f>
        <v>182938401.71999997</v>
      </c>
      <c r="D38" s="91"/>
      <c r="E38" s="91"/>
      <c r="F38" s="91"/>
      <c r="G38" s="92">
        <f>+G19</f>
        <v>460710216.32</v>
      </c>
      <c r="H38" s="82"/>
      <c r="I38" s="80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4" t="s">
        <v>151</v>
      </c>
      <c r="B40" s="21"/>
      <c r="C40" s="21"/>
      <c r="D40" s="7"/>
      <c r="E40" s="7"/>
      <c r="F40" s="7"/>
      <c r="G40" s="21"/>
      <c r="H40" s="7"/>
      <c r="I40" s="22"/>
    </row>
    <row r="41" spans="1:7" ht="15">
      <c r="A41" s="24"/>
      <c r="D41" s="24"/>
      <c r="E41" s="24"/>
      <c r="F41" s="24"/>
      <c r="G41" s="24"/>
    </row>
    <row r="42" spans="4:7" ht="15">
      <c r="D42" s="24"/>
      <c r="E42" s="24"/>
      <c r="F42" s="24"/>
      <c r="G42" s="24"/>
    </row>
    <row r="43" spans="1:7" ht="15">
      <c r="A43" s="23" t="s">
        <v>147</v>
      </c>
      <c r="C43" s="24"/>
      <c r="D43" s="24"/>
      <c r="E43" s="24"/>
      <c r="F43" s="24"/>
      <c r="G43" s="24"/>
    </row>
    <row r="44" spans="1:7" ht="15">
      <c r="A44" s="23" t="s">
        <v>148</v>
      </c>
      <c r="C44" s="24"/>
      <c r="D44" s="24"/>
      <c r="E44" s="24"/>
      <c r="F44" s="24"/>
      <c r="G44" s="24"/>
    </row>
    <row r="45" spans="3:7" ht="15">
      <c r="C45" s="24"/>
      <c r="D45" s="24"/>
      <c r="E45" s="24"/>
      <c r="F45" s="24"/>
      <c r="G45" s="24"/>
    </row>
    <row r="46" ht="14.25" customHeight="1"/>
    <row r="47" ht="14.25" customHeight="1"/>
    <row r="48" ht="14.25" customHeight="1"/>
    <row r="49" ht="14.25" customHeight="1"/>
    <row r="50" ht="14.25" customHeight="1"/>
    <row r="51" spans="2:11" ht="15" customHeight="1">
      <c r="B51" s="22"/>
      <c r="C51" s="22"/>
      <c r="F51" s="220" t="s">
        <v>70</v>
      </c>
      <c r="G51" s="221"/>
      <c r="H51" s="26"/>
      <c r="I51" s="26"/>
      <c r="K51" t="s">
        <v>41</v>
      </c>
    </row>
    <row r="52" spans="2:11" ht="15" customHeight="1">
      <c r="B52" s="186"/>
      <c r="C52" s="186"/>
      <c r="F52" s="219" t="s">
        <v>156</v>
      </c>
      <c r="G52" s="219"/>
      <c r="H52" s="27"/>
      <c r="I52" s="27"/>
      <c r="K52" t="s">
        <v>150</v>
      </c>
    </row>
    <row r="53" spans="2:9" ht="15" customHeight="1">
      <c r="B53" s="186"/>
      <c r="C53" s="186"/>
      <c r="F53" s="219"/>
      <c r="G53" s="219"/>
      <c r="H53" s="27"/>
      <c r="I53" s="27"/>
    </row>
    <row r="54" spans="1:9" s="19" customFormat="1" ht="15">
      <c r="A54"/>
      <c r="B54"/>
      <c r="C54"/>
      <c r="D54"/>
      <c r="E54"/>
      <c r="F54"/>
      <c r="G54"/>
      <c r="H54"/>
      <c r="I54"/>
    </row>
    <row r="56" spans="1:9" s="19" customFormat="1" ht="15">
      <c r="A56"/>
      <c r="B56"/>
      <c r="D56"/>
      <c r="E56"/>
      <c r="F56"/>
      <c r="G56"/>
      <c r="H56"/>
      <c r="I56"/>
    </row>
    <row r="57" spans="1:9" s="19" customFormat="1" ht="15">
      <c r="A57"/>
      <c r="B57"/>
      <c r="C57" s="4"/>
      <c r="D57"/>
      <c r="E57"/>
      <c r="F57"/>
      <c r="G57"/>
      <c r="H57"/>
      <c r="I57"/>
    </row>
  </sheetData>
  <sheetProtection/>
  <mergeCells count="18">
    <mergeCell ref="B53:C53"/>
    <mergeCell ref="F53:G53"/>
    <mergeCell ref="B14:B16"/>
    <mergeCell ref="C14:C16"/>
    <mergeCell ref="G14:G16"/>
    <mergeCell ref="F51:G51"/>
    <mergeCell ref="B52:C52"/>
    <mergeCell ref="F52:G52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0" fitToWidth="0" horizontalDpi="360" verticalDpi="36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7"/>
  <sheetViews>
    <sheetView zoomScale="90" zoomScaleNormal="90" zoomScalePageLayoutView="0" workbookViewId="0" topLeftCell="A1">
      <pane ySplit="10" topLeftCell="A23" activePane="bottomLeft" state="frozen"/>
      <selection pane="topLeft" activeCell="F51" sqref="F51:G52"/>
      <selection pane="bottomLeft" activeCell="F51" sqref="F51:G52"/>
    </sheetView>
  </sheetViews>
  <sheetFormatPr defaultColWidth="9.140625" defaultRowHeight="15"/>
  <cols>
    <col min="1" max="1" width="64.00390625" style="0" customWidth="1"/>
    <col min="2" max="3" width="16.00390625" style="0" customWidth="1"/>
    <col min="4" max="6" width="9.71093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21.421875" style="0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157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12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117">
        <v>3276089043</v>
      </c>
      <c r="L11" s="150" t="s">
        <v>154</v>
      </c>
    </row>
    <row r="12" spans="1:12" s="97" customFormat="1" ht="15">
      <c r="A12" s="40" t="s">
        <v>68</v>
      </c>
      <c r="B12" s="8">
        <f>+K12*0.3</f>
        <v>49141335.6</v>
      </c>
      <c r="C12" s="8">
        <f>+K12*0.7</f>
        <v>114663116.39999999</v>
      </c>
      <c r="D12" s="8"/>
      <c r="E12" s="8"/>
      <c r="F12" s="8"/>
      <c r="G12" s="81">
        <f>+B12+C12</f>
        <v>163804452</v>
      </c>
      <c r="H12" s="82"/>
      <c r="I12" s="80"/>
      <c r="K12" s="19">
        <v>163804452</v>
      </c>
      <c r="L12" s="149">
        <v>0.05</v>
      </c>
    </row>
    <row r="13" spans="1:12" ht="15">
      <c r="A13" s="40" t="s">
        <v>146</v>
      </c>
      <c r="B13" s="8"/>
      <c r="C13" s="8">
        <v>68279468.5</v>
      </c>
      <c r="D13" s="8"/>
      <c r="E13" s="8"/>
      <c r="F13" s="8"/>
      <c r="G13" s="81">
        <f>+C13</f>
        <v>68279468.5</v>
      </c>
      <c r="H13" s="82"/>
      <c r="I13" s="80"/>
      <c r="K13" s="19">
        <f>+K12*0.7</f>
        <v>114663116.39999999</v>
      </c>
      <c r="L13">
        <v>70</v>
      </c>
    </row>
    <row r="14" spans="1:12" ht="15">
      <c r="A14" s="41" t="s">
        <v>17</v>
      </c>
      <c r="B14" s="189">
        <f>+K25</f>
        <v>228626295.82000002</v>
      </c>
      <c r="C14" s="189"/>
      <c r="D14" s="10"/>
      <c r="E14" s="83"/>
      <c r="F14" s="83"/>
      <c r="G14" s="192">
        <f>+B14</f>
        <v>228626295.82000002</v>
      </c>
      <c r="H14" s="82"/>
      <c r="I14" s="80"/>
      <c r="K14" s="19">
        <f>+K12*0.3</f>
        <v>49141335.6</v>
      </c>
      <c r="L14">
        <v>30</v>
      </c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149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21</v>
      </c>
      <c r="B17" s="84"/>
      <c r="C17" s="84"/>
      <c r="D17" s="84"/>
      <c r="E17" s="84"/>
      <c r="F17" s="84"/>
      <c r="G17" s="85"/>
      <c r="H17" s="82"/>
      <c r="I17" s="80"/>
    </row>
    <row r="18" spans="1:9" s="16" customFormat="1" ht="15" hidden="1">
      <c r="A18" s="40" t="s">
        <v>22</v>
      </c>
      <c r="B18" s="8"/>
      <c r="C18" s="8"/>
      <c r="D18" s="8"/>
      <c r="E18" s="8"/>
      <c r="F18" s="8"/>
      <c r="G18" s="81"/>
      <c r="H18" s="82"/>
      <c r="I18" s="80"/>
    </row>
    <row r="19" spans="1:11" ht="15">
      <c r="A19" s="39" t="s">
        <v>23</v>
      </c>
      <c r="B19" s="86">
        <f>SUM(B12:B18)</f>
        <v>277767631.42</v>
      </c>
      <c r="C19" s="86">
        <f>SUM(C12:C18)</f>
        <v>182942584.89999998</v>
      </c>
      <c r="D19" s="8"/>
      <c r="E19" s="8"/>
      <c r="F19" s="8"/>
      <c r="G19" s="81">
        <f>SUM(B19:F19)</f>
        <v>460710216.32</v>
      </c>
      <c r="H19" s="82"/>
      <c r="I19" s="80"/>
      <c r="J19">
        <v>2014</v>
      </c>
      <c r="K19" s="4">
        <v>25751090</v>
      </c>
    </row>
    <row r="20" spans="1:11" ht="15">
      <c r="A20" s="39" t="s">
        <v>24</v>
      </c>
      <c r="B20" s="8"/>
      <c r="C20" s="8"/>
      <c r="D20" s="8"/>
      <c r="E20" s="8"/>
      <c r="F20" s="8"/>
      <c r="G20" s="81"/>
      <c r="H20" s="82"/>
      <c r="I20" s="80"/>
      <c r="J20">
        <v>2015</v>
      </c>
      <c r="K20" s="4">
        <v>31603481.5</v>
      </c>
    </row>
    <row r="21" spans="1:11" ht="15">
      <c r="A21" s="40" t="s">
        <v>25</v>
      </c>
      <c r="B21" s="8"/>
      <c r="C21" s="8"/>
      <c r="D21" s="8"/>
      <c r="E21" s="8"/>
      <c r="F21" s="8"/>
      <c r="G21" s="81"/>
      <c r="H21" s="82"/>
      <c r="I21" s="80"/>
      <c r="J21">
        <v>2016</v>
      </c>
      <c r="K21" s="4">
        <v>60262141.58</v>
      </c>
    </row>
    <row r="22" spans="1:11" ht="15">
      <c r="A22" s="40" t="s">
        <v>26</v>
      </c>
      <c r="B22" s="8"/>
      <c r="C22" s="8"/>
      <c r="D22" s="8"/>
      <c r="E22" s="8"/>
      <c r="F22" s="8"/>
      <c r="G22" s="81"/>
      <c r="H22" s="82"/>
      <c r="I22" s="80"/>
      <c r="J22">
        <v>2017</v>
      </c>
      <c r="K22" s="4">
        <v>45433875.53</v>
      </c>
    </row>
    <row r="23" spans="1:11" ht="15">
      <c r="A23" s="40" t="s">
        <v>27</v>
      </c>
      <c r="B23" s="8"/>
      <c r="C23" s="8"/>
      <c r="D23" s="8"/>
      <c r="E23" s="8"/>
      <c r="F23" s="8"/>
      <c r="G23" s="81"/>
      <c r="H23" s="82"/>
      <c r="I23" s="80"/>
      <c r="J23">
        <v>2018</v>
      </c>
      <c r="K23" s="4">
        <v>65575707.21</v>
      </c>
    </row>
    <row r="24" spans="1:9" ht="15" hidden="1">
      <c r="A24" s="40" t="s">
        <v>28</v>
      </c>
      <c r="B24" s="8"/>
      <c r="C24" s="8"/>
      <c r="D24" s="8"/>
      <c r="E24" s="8"/>
      <c r="F24" s="8"/>
      <c r="G24" s="81"/>
      <c r="H24" s="82"/>
      <c r="I24" s="80"/>
    </row>
    <row r="25" spans="1:11" ht="15.75" thickBot="1">
      <c r="A25" s="40" t="s">
        <v>45</v>
      </c>
      <c r="B25" s="8"/>
      <c r="C25" s="8"/>
      <c r="D25" s="8"/>
      <c r="E25" s="8"/>
      <c r="F25" s="8"/>
      <c r="G25" s="81"/>
      <c r="H25" s="82"/>
      <c r="I25" s="80"/>
      <c r="K25" s="148">
        <f>SUM(K19:K24)</f>
        <v>228626295.82000002</v>
      </c>
    </row>
    <row r="26" spans="1:9" ht="15.75" thickTop="1">
      <c r="A26" s="40" t="s">
        <v>46</v>
      </c>
      <c r="B26" s="8"/>
      <c r="C26" s="8">
        <v>26216.32</v>
      </c>
      <c r="D26" s="8"/>
      <c r="E26" s="8"/>
      <c r="F26" s="8"/>
      <c r="G26" s="81"/>
      <c r="H26" s="82"/>
      <c r="I26" s="80"/>
    </row>
    <row r="27" spans="1:9" ht="15">
      <c r="A27" s="40" t="s">
        <v>81</v>
      </c>
      <c r="B27" s="8"/>
      <c r="C27" s="8">
        <f>4183.18+4183.18</f>
        <v>8366.36</v>
      </c>
      <c r="D27" s="8"/>
      <c r="E27" s="8"/>
      <c r="F27" s="8"/>
      <c r="G27" s="81"/>
      <c r="H27" s="82"/>
      <c r="I27" s="80"/>
    </row>
    <row r="28" spans="1:11" ht="15">
      <c r="A28" s="40" t="s">
        <v>89</v>
      </c>
      <c r="B28" s="8"/>
      <c r="C28" s="8"/>
      <c r="D28" s="8"/>
      <c r="E28" s="8"/>
      <c r="F28" s="8"/>
      <c r="G28" s="81"/>
      <c r="H28" s="82"/>
      <c r="I28" s="80"/>
      <c r="K28" t="s">
        <v>155</v>
      </c>
    </row>
    <row r="29" spans="1:9" ht="15">
      <c r="A29" s="40" t="s">
        <v>90</v>
      </c>
      <c r="B29" s="8"/>
      <c r="C29" s="8"/>
      <c r="D29" s="8"/>
      <c r="E29" s="8"/>
      <c r="F29" s="8"/>
      <c r="G29" s="81"/>
      <c r="H29" s="82"/>
      <c r="I29" s="80"/>
    </row>
    <row r="30" spans="1:9" ht="15">
      <c r="A30" s="40" t="s">
        <v>91</v>
      </c>
      <c r="B30" s="8"/>
      <c r="C30" s="8"/>
      <c r="D30" s="8"/>
      <c r="E30" s="8"/>
      <c r="F30" s="8"/>
      <c r="G30" s="81"/>
      <c r="H30" s="82"/>
      <c r="I30" s="80"/>
    </row>
    <row r="31" spans="1:9" ht="15" customHeight="1" hidden="1">
      <c r="A31" s="41" t="s">
        <v>30</v>
      </c>
      <c r="B31" s="8"/>
      <c r="C31" s="8"/>
      <c r="D31" s="8"/>
      <c r="E31" s="8"/>
      <c r="F31" s="8"/>
      <c r="G31" s="81"/>
      <c r="H31" s="82"/>
      <c r="I31" s="80"/>
    </row>
    <row r="32" spans="1:9" ht="15" customHeight="1">
      <c r="A32" s="40" t="s">
        <v>92</v>
      </c>
      <c r="B32" s="8"/>
      <c r="C32" s="8"/>
      <c r="D32" s="8"/>
      <c r="E32" s="8"/>
      <c r="F32" s="8"/>
      <c r="G32" s="81"/>
      <c r="H32" s="82"/>
      <c r="I32" s="80"/>
    </row>
    <row r="33" spans="1:9" ht="15">
      <c r="A33" s="42" t="s">
        <v>31</v>
      </c>
      <c r="B33" s="8"/>
      <c r="C33" s="8"/>
      <c r="D33" s="8"/>
      <c r="E33" s="8"/>
      <c r="F33" s="8"/>
      <c r="G33" s="81"/>
      <c r="H33" s="82"/>
      <c r="I33" s="80"/>
    </row>
    <row r="34" spans="1:9" ht="15">
      <c r="A34" s="40" t="s">
        <v>32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33</v>
      </c>
      <c r="B35" s="8"/>
      <c r="C35" s="8"/>
      <c r="D35" s="8"/>
      <c r="E35" s="8"/>
      <c r="F35" s="8"/>
      <c r="G35" s="81"/>
      <c r="H35" s="82"/>
      <c r="I35" s="80"/>
    </row>
    <row r="36" spans="1:9" ht="15">
      <c r="A36" s="40" t="s">
        <v>34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39" t="s">
        <v>35</v>
      </c>
      <c r="B37" s="86">
        <f>+SUM(B20:B36)</f>
        <v>0</v>
      </c>
      <c r="C37" s="86">
        <f>+SUM(C20:C36)</f>
        <v>34582.68</v>
      </c>
      <c r="D37" s="8"/>
      <c r="E37" s="8"/>
      <c r="F37" s="8"/>
      <c r="G37" s="89"/>
      <c r="H37" s="82"/>
      <c r="I37" s="80"/>
    </row>
    <row r="38" spans="1:9" ht="15.75" thickBot="1">
      <c r="A38" s="44" t="s">
        <v>36</v>
      </c>
      <c r="B38" s="90">
        <f>+B19-B37</f>
        <v>277767631.42</v>
      </c>
      <c r="C38" s="90">
        <f>+C19-C37</f>
        <v>182908002.21999997</v>
      </c>
      <c r="D38" s="91"/>
      <c r="E38" s="91"/>
      <c r="F38" s="91"/>
      <c r="G38" s="92">
        <f>+G19</f>
        <v>460710216.32</v>
      </c>
      <c r="H38" s="82"/>
      <c r="I38" s="80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4" t="s">
        <v>151</v>
      </c>
      <c r="B40" s="21"/>
      <c r="C40" s="21"/>
      <c r="D40" s="7"/>
      <c r="E40" s="7"/>
      <c r="F40" s="7"/>
      <c r="G40" s="21"/>
      <c r="H40" s="7"/>
      <c r="I40" s="22"/>
    </row>
    <row r="41" spans="1:7" ht="15">
      <c r="A41" s="24"/>
      <c r="D41" s="24"/>
      <c r="E41" s="24"/>
      <c r="F41" s="24"/>
      <c r="G41" s="24"/>
    </row>
    <row r="42" spans="4:7" ht="15">
      <c r="D42" s="24"/>
      <c r="E42" s="24"/>
      <c r="F42" s="24"/>
      <c r="G42" s="24"/>
    </row>
    <row r="43" spans="1:7" ht="15">
      <c r="A43" s="23" t="s">
        <v>147</v>
      </c>
      <c r="C43" s="24"/>
      <c r="D43" s="24"/>
      <c r="E43" s="24"/>
      <c r="F43" s="24"/>
      <c r="G43" s="24"/>
    </row>
    <row r="44" spans="1:7" ht="15">
      <c r="A44" s="23" t="s">
        <v>148</v>
      </c>
      <c r="C44" s="24"/>
      <c r="D44" s="24"/>
      <c r="E44" s="24"/>
      <c r="F44" s="24"/>
      <c r="G44" s="24"/>
    </row>
    <row r="45" spans="3:7" ht="15">
      <c r="C45" s="151"/>
      <c r="D45" s="24"/>
      <c r="E45" s="24"/>
      <c r="F45" s="24"/>
      <c r="G45" s="24"/>
    </row>
    <row r="46" ht="14.25" customHeight="1">
      <c r="C46" s="4"/>
    </row>
    <row r="47" ht="14.25" customHeight="1"/>
    <row r="48" ht="14.25" customHeight="1"/>
    <row r="49" ht="14.25" customHeight="1"/>
    <row r="50" ht="14.25" customHeight="1"/>
    <row r="51" spans="2:11" ht="15" customHeight="1">
      <c r="B51" s="22"/>
      <c r="C51" s="22"/>
      <c r="F51" s="220" t="str">
        <f>+K51</f>
        <v>ROSALIA B. ORTIZ</v>
      </c>
      <c r="G51" s="221"/>
      <c r="H51" s="26"/>
      <c r="I51" s="26"/>
      <c r="K51" t="s">
        <v>41</v>
      </c>
    </row>
    <row r="52" spans="2:11" ht="15" customHeight="1">
      <c r="B52" s="186"/>
      <c r="C52" s="186"/>
      <c r="F52" s="219" t="str">
        <f>+K52</f>
        <v>Assistant City Accountant</v>
      </c>
      <c r="G52" s="219"/>
      <c r="H52" s="27"/>
      <c r="I52" s="27"/>
      <c r="K52" t="s">
        <v>150</v>
      </c>
    </row>
    <row r="53" spans="2:9" ht="15" customHeight="1">
      <c r="B53" s="186"/>
      <c r="C53" s="186"/>
      <c r="F53" s="219"/>
      <c r="G53" s="219"/>
      <c r="H53" s="27"/>
      <c r="I53" s="27"/>
    </row>
    <row r="54" spans="1:9" s="19" customFormat="1" ht="15">
      <c r="A54"/>
      <c r="B54"/>
      <c r="C54"/>
      <c r="D54"/>
      <c r="E54"/>
      <c r="F54"/>
      <c r="G54"/>
      <c r="H54"/>
      <c r="I54"/>
    </row>
    <row r="56" spans="1:9" s="19" customFormat="1" ht="15">
      <c r="A56"/>
      <c r="B56"/>
      <c r="D56"/>
      <c r="E56"/>
      <c r="F56"/>
      <c r="G56"/>
      <c r="H56"/>
      <c r="I56"/>
    </row>
    <row r="57" spans="1:9" s="19" customFormat="1" ht="15">
      <c r="A57"/>
      <c r="B57"/>
      <c r="C57" s="4"/>
      <c r="D57"/>
      <c r="E57"/>
      <c r="F57"/>
      <c r="G57"/>
      <c r="H57"/>
      <c r="I57"/>
    </row>
  </sheetData>
  <sheetProtection/>
  <mergeCells count="18">
    <mergeCell ref="B53:C53"/>
    <mergeCell ref="F53:G53"/>
    <mergeCell ref="B14:B16"/>
    <mergeCell ref="C14:C16"/>
    <mergeCell ref="G14:G16"/>
    <mergeCell ref="F51:G51"/>
    <mergeCell ref="B52:C52"/>
    <mergeCell ref="F52:G52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0" fitToWidth="0" horizontalDpi="360" verticalDpi="36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61"/>
  <sheetViews>
    <sheetView zoomScale="90" zoomScaleNormal="90" zoomScalePageLayoutView="0" workbookViewId="0" topLeftCell="A1">
      <pane ySplit="10" topLeftCell="A20" activePane="bottomLeft" state="frozen"/>
      <selection pane="topLeft" activeCell="F51" sqref="F51:G52"/>
      <selection pane="bottomLeft" activeCell="F51" sqref="F51:G52"/>
    </sheetView>
  </sheetViews>
  <sheetFormatPr defaultColWidth="9.140625" defaultRowHeight="15"/>
  <cols>
    <col min="1" max="1" width="64.00390625" style="0" customWidth="1"/>
    <col min="2" max="3" width="16.00390625" style="0" customWidth="1"/>
    <col min="4" max="6" width="9.71093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21.421875" style="0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161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12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117">
        <v>3276089043</v>
      </c>
      <c r="L11" s="150" t="s">
        <v>154</v>
      </c>
    </row>
    <row r="12" spans="1:12" s="97" customFormat="1" ht="15">
      <c r="A12" s="40" t="s">
        <v>68</v>
      </c>
      <c r="B12" s="8">
        <f>+K12*0.3</f>
        <v>49141335.6</v>
      </c>
      <c r="C12" s="8">
        <f>+K12*0.7</f>
        <v>114663116.39999999</v>
      </c>
      <c r="D12" s="8"/>
      <c r="E12" s="8"/>
      <c r="F12" s="8"/>
      <c r="G12" s="81">
        <f>+B12+C12</f>
        <v>163804452</v>
      </c>
      <c r="H12" s="82"/>
      <c r="I12" s="80"/>
      <c r="K12" s="19">
        <v>163804452</v>
      </c>
      <c r="L12" s="149">
        <v>0.05</v>
      </c>
    </row>
    <row r="13" spans="1:12" ht="15">
      <c r="A13" s="40" t="s">
        <v>146</v>
      </c>
      <c r="B13" s="8"/>
      <c r="C13" s="8">
        <v>68279468.5</v>
      </c>
      <c r="D13" s="8"/>
      <c r="E13" s="8"/>
      <c r="F13" s="8"/>
      <c r="G13" s="81">
        <f>+C13</f>
        <v>68279468.5</v>
      </c>
      <c r="H13" s="82"/>
      <c r="I13" s="80"/>
      <c r="K13" s="19">
        <f>+K12*0.7</f>
        <v>114663116.39999999</v>
      </c>
      <c r="L13">
        <v>70</v>
      </c>
    </row>
    <row r="14" spans="1:12" ht="15">
      <c r="A14" s="41" t="s">
        <v>17</v>
      </c>
      <c r="B14" s="189">
        <f>+K25</f>
        <v>228626295.82000002</v>
      </c>
      <c r="C14" s="189"/>
      <c r="D14" s="10"/>
      <c r="E14" s="83"/>
      <c r="F14" s="83"/>
      <c r="G14" s="192">
        <f>+B14</f>
        <v>228626295.82000002</v>
      </c>
      <c r="H14" s="82"/>
      <c r="I14" s="80"/>
      <c r="K14" s="19">
        <f>+K12*0.3</f>
        <v>49141335.6</v>
      </c>
      <c r="L14">
        <v>30</v>
      </c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149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21</v>
      </c>
      <c r="B17" s="84"/>
      <c r="C17" s="84"/>
      <c r="D17" s="84"/>
      <c r="E17" s="84"/>
      <c r="F17" s="84"/>
      <c r="G17" s="85"/>
      <c r="H17" s="82"/>
      <c r="I17" s="80"/>
    </row>
    <row r="18" spans="1:9" s="16" customFormat="1" ht="15" hidden="1">
      <c r="A18" s="40" t="s">
        <v>22</v>
      </c>
      <c r="B18" s="8"/>
      <c r="C18" s="8"/>
      <c r="D18" s="8"/>
      <c r="E18" s="8"/>
      <c r="F18" s="8"/>
      <c r="G18" s="81"/>
      <c r="H18" s="82"/>
      <c r="I18" s="80"/>
    </row>
    <row r="19" spans="1:11" ht="15">
      <c r="A19" s="39" t="s">
        <v>23</v>
      </c>
      <c r="B19" s="86">
        <f>SUM(B12:B18)</f>
        <v>277767631.42</v>
      </c>
      <c r="C19" s="86">
        <f>SUM(C12:C18)</f>
        <v>182942584.89999998</v>
      </c>
      <c r="D19" s="8"/>
      <c r="E19" s="8"/>
      <c r="F19" s="8"/>
      <c r="G19" s="81">
        <f>SUM(B19:F19)</f>
        <v>460710216.32</v>
      </c>
      <c r="H19" s="82"/>
      <c r="I19" s="80"/>
      <c r="J19">
        <v>2014</v>
      </c>
      <c r="K19" s="4">
        <v>25751090</v>
      </c>
    </row>
    <row r="20" spans="1:11" ht="15">
      <c r="A20" s="39" t="s">
        <v>24</v>
      </c>
      <c r="B20" s="8"/>
      <c r="C20" s="8"/>
      <c r="D20" s="8"/>
      <c r="E20" s="8"/>
      <c r="F20" s="8"/>
      <c r="G20" s="81"/>
      <c r="H20" s="82"/>
      <c r="I20" s="80"/>
      <c r="J20">
        <v>2015</v>
      </c>
      <c r="K20" s="4">
        <v>31603481.5</v>
      </c>
    </row>
    <row r="21" spans="1:11" ht="15">
      <c r="A21" s="40" t="s">
        <v>25</v>
      </c>
      <c r="B21" s="8"/>
      <c r="C21" s="8"/>
      <c r="D21" s="8"/>
      <c r="E21" s="8"/>
      <c r="F21" s="8"/>
      <c r="G21" s="81"/>
      <c r="H21" s="82"/>
      <c r="I21" s="80"/>
      <c r="J21">
        <v>2016</v>
      </c>
      <c r="K21" s="4">
        <v>60262141.58</v>
      </c>
    </row>
    <row r="22" spans="1:11" ht="15">
      <c r="A22" s="40" t="s">
        <v>26</v>
      </c>
      <c r="B22" s="8"/>
      <c r="C22" s="8"/>
      <c r="D22" s="8"/>
      <c r="E22" s="8"/>
      <c r="F22" s="8"/>
      <c r="G22" s="81"/>
      <c r="H22" s="82"/>
      <c r="I22" s="80"/>
      <c r="J22">
        <v>2017</v>
      </c>
      <c r="K22" s="4">
        <v>45433875.53</v>
      </c>
    </row>
    <row r="23" spans="1:11" ht="15">
      <c r="A23" s="40" t="s">
        <v>27</v>
      </c>
      <c r="B23" s="8"/>
      <c r="C23" s="8"/>
      <c r="D23" s="8"/>
      <c r="E23" s="8"/>
      <c r="F23" s="8"/>
      <c r="G23" s="81"/>
      <c r="H23" s="82"/>
      <c r="I23" s="80"/>
      <c r="J23">
        <v>2018</v>
      </c>
      <c r="K23" s="4">
        <v>65575707.21</v>
      </c>
    </row>
    <row r="24" spans="1:9" ht="15" hidden="1">
      <c r="A24" s="40" t="s">
        <v>28</v>
      </c>
      <c r="B24" s="8"/>
      <c r="C24" s="8"/>
      <c r="D24" s="8"/>
      <c r="E24" s="8"/>
      <c r="F24" s="8"/>
      <c r="G24" s="81"/>
      <c r="H24" s="82"/>
      <c r="I24" s="80"/>
    </row>
    <row r="25" spans="1:11" ht="15.75" thickBot="1">
      <c r="A25" s="40" t="s">
        <v>45</v>
      </c>
      <c r="B25" s="8"/>
      <c r="C25" s="8"/>
      <c r="D25" s="8"/>
      <c r="E25" s="8"/>
      <c r="F25" s="8"/>
      <c r="G25" s="81"/>
      <c r="H25" s="82"/>
      <c r="I25" s="80"/>
      <c r="K25" s="148">
        <f>SUM(K19:K24)</f>
        <v>228626295.82000002</v>
      </c>
    </row>
    <row r="26" spans="1:9" ht="15.75" thickTop="1">
      <c r="A26" s="40" t="s">
        <v>46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159</v>
      </c>
      <c r="B27" s="8"/>
      <c r="C27" s="8">
        <f>26216.32+12358.91+31703.57+16658.99</f>
        <v>86937.79</v>
      </c>
      <c r="D27" s="8"/>
      <c r="E27" s="8"/>
      <c r="F27" s="8"/>
      <c r="G27" s="81"/>
      <c r="H27" s="82"/>
      <c r="I27" s="80"/>
    </row>
    <row r="28" spans="1:9" ht="15">
      <c r="A28" s="40" t="s">
        <v>160</v>
      </c>
      <c r="B28" s="8"/>
      <c r="C28" s="8"/>
      <c r="D28" s="8"/>
      <c r="E28" s="8"/>
      <c r="F28" s="8"/>
      <c r="G28" s="81"/>
      <c r="H28" s="82"/>
      <c r="I28" s="80"/>
    </row>
    <row r="29" spans="1:9" ht="15">
      <c r="A29" s="40" t="s">
        <v>81</v>
      </c>
      <c r="B29" s="8"/>
      <c r="C29" s="8">
        <f>4183.18+4183.18</f>
        <v>8366.36</v>
      </c>
      <c r="D29" s="8"/>
      <c r="E29" s="8"/>
      <c r="F29" s="8"/>
      <c r="G29" s="81"/>
      <c r="H29" s="82"/>
      <c r="I29" s="80"/>
    </row>
    <row r="30" spans="1:9" ht="15">
      <c r="A30" s="40" t="s">
        <v>158</v>
      </c>
      <c r="B30" s="8"/>
      <c r="C30" s="8"/>
      <c r="D30" s="8"/>
      <c r="E30" s="8"/>
      <c r="F30" s="8"/>
      <c r="G30" s="81"/>
      <c r="H30" s="82"/>
      <c r="I30" s="80"/>
    </row>
    <row r="31" spans="1:9" ht="15">
      <c r="A31" s="40" t="s">
        <v>162</v>
      </c>
      <c r="B31" s="8"/>
      <c r="C31" s="8">
        <v>241880</v>
      </c>
      <c r="D31" s="8"/>
      <c r="E31" s="8"/>
      <c r="F31" s="8"/>
      <c r="G31" s="81"/>
      <c r="H31" s="82"/>
      <c r="I31" s="80"/>
    </row>
    <row r="32" spans="1:11" ht="15">
      <c r="A32" s="40" t="s">
        <v>89</v>
      </c>
      <c r="B32" s="8"/>
      <c r="C32" s="8"/>
      <c r="D32" s="8"/>
      <c r="E32" s="8"/>
      <c r="F32" s="8"/>
      <c r="G32" s="81"/>
      <c r="H32" s="82"/>
      <c r="I32" s="80"/>
      <c r="K32" t="s">
        <v>155</v>
      </c>
    </row>
    <row r="33" spans="1:9" ht="15">
      <c r="A33" s="40" t="s">
        <v>90</v>
      </c>
      <c r="B33" s="8"/>
      <c r="C33" s="8"/>
      <c r="D33" s="8"/>
      <c r="E33" s="8"/>
      <c r="F33" s="8"/>
      <c r="G33" s="81"/>
      <c r="H33" s="82"/>
      <c r="I33" s="80"/>
    </row>
    <row r="34" spans="1:9" ht="15">
      <c r="A34" s="40" t="s">
        <v>91</v>
      </c>
      <c r="B34" s="8"/>
      <c r="C34" s="8"/>
      <c r="D34" s="8"/>
      <c r="E34" s="8"/>
      <c r="F34" s="8"/>
      <c r="G34" s="81"/>
      <c r="H34" s="82"/>
      <c r="I34" s="80"/>
    </row>
    <row r="35" spans="1:9" ht="15" customHeight="1" hidden="1">
      <c r="A35" s="41" t="s">
        <v>30</v>
      </c>
      <c r="B35" s="8"/>
      <c r="C35" s="8"/>
      <c r="D35" s="8"/>
      <c r="E35" s="8"/>
      <c r="F35" s="8"/>
      <c r="G35" s="81"/>
      <c r="H35" s="82"/>
      <c r="I35" s="80"/>
    </row>
    <row r="36" spans="1:9" ht="15" customHeight="1">
      <c r="A36" s="40" t="s">
        <v>92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2" t="s">
        <v>31</v>
      </c>
      <c r="B37" s="8"/>
      <c r="C37" s="8"/>
      <c r="D37" s="8"/>
      <c r="E37" s="8"/>
      <c r="F37" s="8"/>
      <c r="G37" s="81"/>
      <c r="H37" s="82"/>
      <c r="I37" s="80"/>
    </row>
    <row r="38" spans="1:9" ht="15">
      <c r="A38" s="40" t="s">
        <v>32</v>
      </c>
      <c r="B38" s="8"/>
      <c r="C38" s="8"/>
      <c r="D38" s="8"/>
      <c r="E38" s="8"/>
      <c r="F38" s="8"/>
      <c r="G38" s="81"/>
      <c r="H38" s="82"/>
      <c r="I38" s="80"/>
    </row>
    <row r="39" spans="1:9" ht="15">
      <c r="A39" s="40" t="s">
        <v>33</v>
      </c>
      <c r="B39" s="8"/>
      <c r="C39" s="8"/>
      <c r="D39" s="8"/>
      <c r="E39" s="8"/>
      <c r="F39" s="8"/>
      <c r="G39" s="81"/>
      <c r="H39" s="82"/>
      <c r="I39" s="80"/>
    </row>
    <row r="40" spans="1:9" ht="15">
      <c r="A40" s="40" t="s">
        <v>34</v>
      </c>
      <c r="B40" s="8"/>
      <c r="C40" s="8"/>
      <c r="D40" s="8"/>
      <c r="E40" s="8"/>
      <c r="F40" s="8"/>
      <c r="G40" s="81"/>
      <c r="H40" s="82"/>
      <c r="I40" s="80"/>
    </row>
    <row r="41" spans="1:9" ht="15">
      <c r="A41" s="39" t="s">
        <v>35</v>
      </c>
      <c r="B41" s="86">
        <f>+SUM(B20:B40)</f>
        <v>0</v>
      </c>
      <c r="C41" s="86">
        <f>+SUM(C20:C40)</f>
        <v>337184.15</v>
      </c>
      <c r="D41" s="8"/>
      <c r="E41" s="8"/>
      <c r="F41" s="8"/>
      <c r="G41" s="89"/>
      <c r="H41" s="82"/>
      <c r="I41" s="80"/>
    </row>
    <row r="42" spans="1:9" ht="15.75" thickBot="1">
      <c r="A42" s="44" t="s">
        <v>36</v>
      </c>
      <c r="B42" s="90">
        <f>+B19-B41</f>
        <v>277767631.42</v>
      </c>
      <c r="C42" s="90">
        <f>+C19-C41</f>
        <v>182605400.74999997</v>
      </c>
      <c r="D42" s="91"/>
      <c r="E42" s="91"/>
      <c r="F42" s="91"/>
      <c r="G42" s="92">
        <f>+G19</f>
        <v>460710216.32</v>
      </c>
      <c r="H42" s="82"/>
      <c r="I42" s="80"/>
    </row>
    <row r="43" spans="1:9" ht="15">
      <c r="A43" s="20"/>
      <c r="B43" s="21"/>
      <c r="C43" s="21"/>
      <c r="D43" s="7"/>
      <c r="E43" s="7"/>
      <c r="F43" s="7"/>
      <c r="G43" s="21"/>
      <c r="H43" s="7"/>
      <c r="I43" s="22"/>
    </row>
    <row r="44" spans="1:9" ht="15">
      <c r="A44" s="24" t="s">
        <v>151</v>
      </c>
      <c r="B44" s="21"/>
      <c r="C44" s="21"/>
      <c r="D44" s="7"/>
      <c r="E44" s="7"/>
      <c r="F44" s="7"/>
      <c r="G44" s="21"/>
      <c r="H44" s="7"/>
      <c r="I44" s="22"/>
    </row>
    <row r="45" spans="1:7" ht="15">
      <c r="A45" s="24"/>
      <c r="D45" s="24"/>
      <c r="E45" s="24"/>
      <c r="F45" s="24"/>
      <c r="G45" s="24"/>
    </row>
    <row r="46" spans="4:7" ht="15">
      <c r="D46" s="24"/>
      <c r="E46" s="24"/>
      <c r="F46" s="24"/>
      <c r="G46" s="24"/>
    </row>
    <row r="47" spans="1:7" ht="15">
      <c r="A47" s="23" t="s">
        <v>147</v>
      </c>
      <c r="C47" s="24"/>
      <c r="D47" s="24"/>
      <c r="E47" s="24"/>
      <c r="F47" s="24"/>
      <c r="G47" s="24"/>
    </row>
    <row r="48" spans="1:7" ht="15">
      <c r="A48" s="23" t="s">
        <v>148</v>
      </c>
      <c r="C48" s="24"/>
      <c r="D48" s="24"/>
      <c r="E48" s="24"/>
      <c r="F48" s="24"/>
      <c r="G48" s="24"/>
    </row>
    <row r="49" spans="3:7" ht="15">
      <c r="C49" s="24"/>
      <c r="D49" s="24"/>
      <c r="E49" s="24"/>
      <c r="F49" s="24"/>
      <c r="G49" s="24"/>
    </row>
    <row r="50" ht="14.25" customHeight="1"/>
    <row r="51" ht="14.25" customHeight="1"/>
    <row r="52" ht="14.25" customHeight="1"/>
    <row r="53" ht="14.25" customHeight="1"/>
    <row r="54" ht="14.25" customHeight="1"/>
    <row r="55" spans="2:11" ht="15" customHeight="1">
      <c r="B55" s="22"/>
      <c r="C55" s="22"/>
      <c r="F55" s="220" t="s">
        <v>70</v>
      </c>
      <c r="G55" s="221"/>
      <c r="H55" s="26"/>
      <c r="I55" s="26"/>
      <c r="K55" t="s">
        <v>41</v>
      </c>
    </row>
    <row r="56" spans="2:11" ht="15" customHeight="1">
      <c r="B56" s="186"/>
      <c r="C56" s="186"/>
      <c r="F56" s="219" t="s">
        <v>156</v>
      </c>
      <c r="G56" s="219"/>
      <c r="H56" s="27"/>
      <c r="I56" s="27"/>
      <c r="K56" t="s">
        <v>150</v>
      </c>
    </row>
    <row r="57" spans="2:9" ht="15" customHeight="1">
      <c r="B57" s="186"/>
      <c r="C57" s="186"/>
      <c r="F57" s="219"/>
      <c r="G57" s="219"/>
      <c r="H57" s="27"/>
      <c r="I57" s="27"/>
    </row>
    <row r="58" spans="1:9" s="19" customFormat="1" ht="15">
      <c r="A58"/>
      <c r="B58"/>
      <c r="C58"/>
      <c r="D58"/>
      <c r="E58"/>
      <c r="F58"/>
      <c r="G58"/>
      <c r="H58"/>
      <c r="I58"/>
    </row>
    <row r="60" spans="1:9" s="19" customFormat="1" ht="15">
      <c r="A60"/>
      <c r="B60"/>
      <c r="D60"/>
      <c r="E60"/>
      <c r="F60"/>
      <c r="G60"/>
      <c r="H60"/>
      <c r="I60"/>
    </row>
    <row r="61" spans="1:9" s="19" customFormat="1" ht="15">
      <c r="A61"/>
      <c r="B61"/>
      <c r="C61" s="4"/>
      <c r="D61"/>
      <c r="E61"/>
      <c r="F61"/>
      <c r="G61"/>
      <c r="H61"/>
      <c r="I61"/>
    </row>
  </sheetData>
  <sheetProtection/>
  <mergeCells count="18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B57:C57"/>
    <mergeCell ref="F57:G57"/>
    <mergeCell ref="B14:B16"/>
    <mergeCell ref="C14:C16"/>
    <mergeCell ref="G14:G16"/>
    <mergeCell ref="F55:G55"/>
    <mergeCell ref="B56:C56"/>
    <mergeCell ref="F56:G56"/>
  </mergeCells>
  <printOptions horizontalCentered="1"/>
  <pageMargins left="0.25" right="0.25" top="0.75" bottom="0.75" header="0.3" footer="0.3"/>
  <pageSetup fitToHeight="0" fitToWidth="0" horizontalDpi="360" verticalDpi="36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64"/>
  <sheetViews>
    <sheetView zoomScale="90" zoomScaleNormal="90" zoomScalePageLayoutView="0" workbookViewId="0" topLeftCell="A1">
      <pane ySplit="10" topLeftCell="A26" activePane="bottomLeft" state="frozen"/>
      <selection pane="topLeft" activeCell="F51" sqref="F51:G52"/>
      <selection pane="bottomLeft" activeCell="F51" sqref="F51:G52"/>
    </sheetView>
  </sheetViews>
  <sheetFormatPr defaultColWidth="9.140625" defaultRowHeight="15"/>
  <cols>
    <col min="1" max="1" width="64.00390625" style="0" customWidth="1"/>
    <col min="2" max="3" width="16.00390625" style="0" customWidth="1"/>
    <col min="4" max="6" width="9.71093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21.421875" style="0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163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12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117">
        <v>3276089043</v>
      </c>
      <c r="L11" s="150" t="s">
        <v>154</v>
      </c>
    </row>
    <row r="12" spans="1:12" s="97" customFormat="1" ht="15">
      <c r="A12" s="40" t="s">
        <v>68</v>
      </c>
      <c r="B12" s="8">
        <f>+K12*0.3</f>
        <v>49141335.6</v>
      </c>
      <c r="C12" s="8">
        <f>+K12*0.7</f>
        <v>114663116.39999999</v>
      </c>
      <c r="D12" s="8"/>
      <c r="E12" s="8"/>
      <c r="F12" s="8"/>
      <c r="G12" s="81">
        <f>+B12+C12</f>
        <v>163804452</v>
      </c>
      <c r="H12" s="82"/>
      <c r="I12" s="80"/>
      <c r="K12" s="19">
        <v>163804452</v>
      </c>
      <c r="L12" s="149">
        <v>0.05</v>
      </c>
    </row>
    <row r="13" spans="1:12" ht="15">
      <c r="A13" s="40" t="s">
        <v>146</v>
      </c>
      <c r="B13" s="8"/>
      <c r="C13" s="8">
        <v>68279468.5</v>
      </c>
      <c r="D13" s="8"/>
      <c r="E13" s="8"/>
      <c r="F13" s="8"/>
      <c r="G13" s="81">
        <f>+C13</f>
        <v>68279468.5</v>
      </c>
      <c r="H13" s="82"/>
      <c r="I13" s="80"/>
      <c r="K13" s="19">
        <f>+K12*0.7</f>
        <v>114663116.39999999</v>
      </c>
      <c r="L13">
        <v>70</v>
      </c>
    </row>
    <row r="14" spans="1:12" ht="15">
      <c r="A14" s="41" t="s">
        <v>17</v>
      </c>
      <c r="B14" s="189">
        <f>+K25</f>
        <v>228626295.82000002</v>
      </c>
      <c r="C14" s="189"/>
      <c r="D14" s="10"/>
      <c r="E14" s="83"/>
      <c r="F14" s="83"/>
      <c r="G14" s="192">
        <f>+B14</f>
        <v>228626295.82000002</v>
      </c>
      <c r="H14" s="82"/>
      <c r="I14" s="80"/>
      <c r="K14" s="19">
        <f>+K12*0.3</f>
        <v>49141335.6</v>
      </c>
      <c r="L14">
        <v>30</v>
      </c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149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21</v>
      </c>
      <c r="B17" s="84"/>
      <c r="C17" s="84"/>
      <c r="D17" s="84"/>
      <c r="E17" s="84"/>
      <c r="F17" s="84"/>
      <c r="G17" s="85"/>
      <c r="H17" s="82"/>
      <c r="I17" s="80"/>
    </row>
    <row r="18" spans="1:9" s="16" customFormat="1" ht="15" hidden="1">
      <c r="A18" s="40" t="s">
        <v>22</v>
      </c>
      <c r="B18" s="8"/>
      <c r="C18" s="8"/>
      <c r="D18" s="8"/>
      <c r="E18" s="8"/>
      <c r="F18" s="8"/>
      <c r="G18" s="81"/>
      <c r="H18" s="82"/>
      <c r="I18" s="80"/>
    </row>
    <row r="19" spans="1:11" ht="15">
      <c r="A19" s="39" t="s">
        <v>23</v>
      </c>
      <c r="B19" s="86">
        <f>SUM(B12:B18)</f>
        <v>277767631.42</v>
      </c>
      <c r="C19" s="86">
        <f>SUM(C12:C18)</f>
        <v>182942584.89999998</v>
      </c>
      <c r="D19" s="8"/>
      <c r="E19" s="8"/>
      <c r="F19" s="8"/>
      <c r="G19" s="81">
        <f>SUM(B19:F19)</f>
        <v>460710216.32</v>
      </c>
      <c r="H19" s="82"/>
      <c r="I19" s="80"/>
      <c r="J19">
        <v>2014</v>
      </c>
      <c r="K19" s="4">
        <v>25751090</v>
      </c>
    </row>
    <row r="20" spans="1:11" ht="15">
      <c r="A20" s="39" t="s">
        <v>24</v>
      </c>
      <c r="B20" s="8"/>
      <c r="C20" s="8"/>
      <c r="D20" s="8"/>
      <c r="E20" s="8"/>
      <c r="F20" s="8"/>
      <c r="G20" s="81"/>
      <c r="H20" s="82"/>
      <c r="I20" s="80"/>
      <c r="J20">
        <v>2015</v>
      </c>
      <c r="K20" s="4">
        <v>31603481.5</v>
      </c>
    </row>
    <row r="21" spans="1:11" ht="15">
      <c r="A21" s="40" t="s">
        <v>25</v>
      </c>
      <c r="B21" s="8"/>
      <c r="C21" s="8"/>
      <c r="D21" s="8"/>
      <c r="E21" s="8"/>
      <c r="F21" s="8"/>
      <c r="G21" s="81"/>
      <c r="H21" s="82"/>
      <c r="I21" s="80"/>
      <c r="J21">
        <v>2016</v>
      </c>
      <c r="K21" s="4">
        <v>60262141.58</v>
      </c>
    </row>
    <row r="22" spans="1:11" ht="15">
      <c r="A22" s="40" t="s">
        <v>26</v>
      </c>
      <c r="B22" s="8"/>
      <c r="C22" s="8"/>
      <c r="D22" s="8"/>
      <c r="E22" s="8"/>
      <c r="F22" s="8"/>
      <c r="G22" s="81"/>
      <c r="H22" s="82"/>
      <c r="I22" s="80"/>
      <c r="J22">
        <v>2017</v>
      </c>
      <c r="K22" s="4">
        <v>45433875.53</v>
      </c>
    </row>
    <row r="23" spans="1:11" ht="15">
      <c r="A23" s="40" t="s">
        <v>27</v>
      </c>
      <c r="B23" s="8"/>
      <c r="C23" s="8"/>
      <c r="D23" s="8"/>
      <c r="E23" s="8"/>
      <c r="F23" s="8"/>
      <c r="G23" s="81"/>
      <c r="H23" s="82"/>
      <c r="I23" s="80"/>
      <c r="J23">
        <v>2018</v>
      </c>
      <c r="K23" s="4">
        <v>65575707.21</v>
      </c>
    </row>
    <row r="24" spans="1:9" ht="15" hidden="1">
      <c r="A24" s="40" t="s">
        <v>28</v>
      </c>
      <c r="B24" s="8"/>
      <c r="C24" s="8"/>
      <c r="D24" s="8"/>
      <c r="E24" s="8"/>
      <c r="F24" s="8"/>
      <c r="G24" s="81"/>
      <c r="H24" s="82"/>
      <c r="I24" s="80"/>
    </row>
    <row r="25" spans="1:11" ht="15.75" thickBot="1">
      <c r="A25" s="40" t="s">
        <v>45</v>
      </c>
      <c r="B25" s="8"/>
      <c r="C25" s="8"/>
      <c r="D25" s="8"/>
      <c r="E25" s="8"/>
      <c r="F25" s="8"/>
      <c r="G25" s="81"/>
      <c r="H25" s="82"/>
      <c r="I25" s="80"/>
      <c r="K25" s="148">
        <f>SUM(K19:K24)</f>
        <v>228626295.82000002</v>
      </c>
    </row>
    <row r="26" spans="1:9" ht="15.75" thickTop="1">
      <c r="A26" s="40" t="s">
        <v>165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159</v>
      </c>
      <c r="B27" s="8"/>
      <c r="C27" s="8">
        <f>26216.32+12358.91+31703.57+16658.99</f>
        <v>86937.79</v>
      </c>
      <c r="D27" s="8"/>
      <c r="E27" s="8"/>
      <c r="F27" s="8"/>
      <c r="G27" s="81"/>
      <c r="H27" s="82"/>
      <c r="I27" s="80"/>
    </row>
    <row r="28" spans="1:9" ht="15">
      <c r="A28" s="40" t="s">
        <v>160</v>
      </c>
      <c r="B28" s="8"/>
      <c r="C28" s="8"/>
      <c r="D28" s="8"/>
      <c r="E28" s="8"/>
      <c r="F28" s="8"/>
      <c r="G28" s="81"/>
      <c r="H28" s="82"/>
      <c r="I28" s="80"/>
    </row>
    <row r="29" spans="1:9" ht="15">
      <c r="A29" s="40" t="s">
        <v>166</v>
      </c>
      <c r="B29" s="8"/>
      <c r="C29" s="8">
        <f>11690+11690+10570</f>
        <v>33950</v>
      </c>
      <c r="D29" s="8"/>
      <c r="E29" s="8"/>
      <c r="F29" s="8"/>
      <c r="G29" s="81"/>
      <c r="H29" s="82"/>
      <c r="I29" s="80"/>
    </row>
    <row r="30" spans="1:9" ht="15">
      <c r="A30" s="40" t="s">
        <v>81</v>
      </c>
      <c r="B30" s="8"/>
      <c r="C30" s="8">
        <f>4183.18+4183.18+7670.47+4258.33</f>
        <v>20295.160000000003</v>
      </c>
      <c r="D30" s="8"/>
      <c r="E30" s="8"/>
      <c r="F30" s="8"/>
      <c r="G30" s="81"/>
      <c r="H30" s="82"/>
      <c r="I30" s="80"/>
    </row>
    <row r="31" spans="1:9" ht="15">
      <c r="A31" s="40" t="s">
        <v>158</v>
      </c>
      <c r="B31" s="8"/>
      <c r="C31" s="8"/>
      <c r="D31" s="8"/>
      <c r="E31" s="8"/>
      <c r="F31" s="8"/>
      <c r="G31" s="81"/>
      <c r="H31" s="82"/>
      <c r="I31" s="80"/>
    </row>
    <row r="32" spans="1:9" ht="15">
      <c r="A32" s="40" t="s">
        <v>162</v>
      </c>
      <c r="B32" s="8"/>
      <c r="C32" s="8">
        <v>241880</v>
      </c>
      <c r="D32" s="8"/>
      <c r="E32" s="8"/>
      <c r="F32" s="8"/>
      <c r="G32" s="81"/>
      <c r="H32" s="82"/>
      <c r="I32" s="80"/>
    </row>
    <row r="33" spans="1:9" ht="15">
      <c r="A33" s="40" t="s">
        <v>164</v>
      </c>
      <c r="B33" s="8"/>
      <c r="C33" s="8">
        <f>167975+137445</f>
        <v>305420</v>
      </c>
      <c r="D33" s="8"/>
      <c r="E33" s="8"/>
      <c r="F33" s="8"/>
      <c r="G33" s="81"/>
      <c r="H33" s="82"/>
      <c r="I33" s="80"/>
    </row>
    <row r="34" spans="1:11" ht="15">
      <c r="A34" s="40" t="s">
        <v>89</v>
      </c>
      <c r="B34" s="8"/>
      <c r="C34" s="8"/>
      <c r="D34" s="8"/>
      <c r="E34" s="8"/>
      <c r="F34" s="8"/>
      <c r="G34" s="81"/>
      <c r="H34" s="82"/>
      <c r="I34" s="80"/>
      <c r="K34" t="s">
        <v>155</v>
      </c>
    </row>
    <row r="35" spans="1:9" ht="15">
      <c r="A35" s="40" t="s">
        <v>90</v>
      </c>
      <c r="B35" s="8"/>
      <c r="C35" s="8"/>
      <c r="D35" s="8"/>
      <c r="E35" s="8"/>
      <c r="F35" s="8"/>
      <c r="G35" s="81"/>
      <c r="H35" s="82"/>
      <c r="I35" s="80"/>
    </row>
    <row r="36" spans="1:9" ht="15">
      <c r="A36" s="40" t="s">
        <v>91</v>
      </c>
      <c r="B36" s="8"/>
      <c r="C36" s="8"/>
      <c r="D36" s="8"/>
      <c r="E36" s="8"/>
      <c r="F36" s="8"/>
      <c r="G36" s="81"/>
      <c r="H36" s="82"/>
      <c r="I36" s="80"/>
    </row>
    <row r="37" spans="1:9" ht="15" customHeight="1" hidden="1">
      <c r="A37" s="41" t="s">
        <v>30</v>
      </c>
      <c r="B37" s="8"/>
      <c r="C37" s="8"/>
      <c r="D37" s="8"/>
      <c r="E37" s="8"/>
      <c r="F37" s="8"/>
      <c r="G37" s="81"/>
      <c r="H37" s="82"/>
      <c r="I37" s="80"/>
    </row>
    <row r="38" spans="1:9" ht="15" customHeight="1">
      <c r="A38" s="40" t="s">
        <v>92</v>
      </c>
      <c r="B38" s="8"/>
      <c r="C38" s="8"/>
      <c r="D38" s="8"/>
      <c r="E38" s="8"/>
      <c r="F38" s="8"/>
      <c r="G38" s="81"/>
      <c r="H38" s="82"/>
      <c r="I38" s="80"/>
    </row>
    <row r="39" spans="1:9" ht="15">
      <c r="A39" s="42" t="s">
        <v>31</v>
      </c>
      <c r="B39" s="8"/>
      <c r="C39" s="8"/>
      <c r="D39" s="8"/>
      <c r="E39" s="8"/>
      <c r="F39" s="8"/>
      <c r="G39" s="81"/>
      <c r="H39" s="82"/>
      <c r="I39" s="80"/>
    </row>
    <row r="40" spans="1:9" ht="15">
      <c r="A40" s="40" t="s">
        <v>32</v>
      </c>
      <c r="B40" s="8"/>
      <c r="C40" s="8"/>
      <c r="D40" s="8"/>
      <c r="E40" s="8"/>
      <c r="F40" s="8"/>
      <c r="G40" s="81"/>
      <c r="H40" s="82"/>
      <c r="I40" s="80"/>
    </row>
    <row r="41" spans="1:9" ht="15">
      <c r="A41" s="40" t="s">
        <v>167</v>
      </c>
      <c r="B41" s="8"/>
      <c r="C41" s="8">
        <v>9936000</v>
      </c>
      <c r="D41" s="8"/>
      <c r="E41" s="8"/>
      <c r="F41" s="8"/>
      <c r="G41" s="81"/>
      <c r="H41" s="82"/>
      <c r="I41" s="80"/>
    </row>
    <row r="42" spans="1:9" ht="15">
      <c r="A42" s="40" t="s">
        <v>33</v>
      </c>
      <c r="B42" s="8"/>
      <c r="C42" s="8"/>
      <c r="D42" s="8"/>
      <c r="E42" s="8"/>
      <c r="F42" s="8"/>
      <c r="G42" s="81"/>
      <c r="H42" s="82"/>
      <c r="I42" s="80"/>
    </row>
    <row r="43" spans="1:9" ht="15">
      <c r="A43" s="40" t="s">
        <v>34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39" t="s">
        <v>35</v>
      </c>
      <c r="B44" s="86">
        <f>+SUM(B20:B43)</f>
        <v>0</v>
      </c>
      <c r="C44" s="86">
        <f>+SUM(C20:C43)</f>
        <v>10624482.95</v>
      </c>
      <c r="D44" s="8"/>
      <c r="E44" s="8"/>
      <c r="F44" s="8"/>
      <c r="G44" s="89"/>
      <c r="H44" s="82"/>
      <c r="I44" s="80"/>
    </row>
    <row r="45" spans="1:9" ht="15.75" thickBot="1">
      <c r="A45" s="44" t="s">
        <v>36</v>
      </c>
      <c r="B45" s="90">
        <f>+B19-B44</f>
        <v>277767631.42</v>
      </c>
      <c r="C45" s="90">
        <f>+C19-C44</f>
        <v>172318101.95</v>
      </c>
      <c r="D45" s="91"/>
      <c r="E45" s="91"/>
      <c r="F45" s="91"/>
      <c r="G45" s="92">
        <f>+G19</f>
        <v>460710216.32</v>
      </c>
      <c r="H45" s="82"/>
      <c r="I45" s="80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4" t="s">
        <v>151</v>
      </c>
      <c r="B47" s="21"/>
      <c r="C47" s="21"/>
      <c r="D47" s="7"/>
      <c r="E47" s="7"/>
      <c r="F47" s="7"/>
      <c r="G47" s="21"/>
      <c r="H47" s="7"/>
      <c r="I47" s="22"/>
    </row>
    <row r="48" spans="1:7" ht="15">
      <c r="A48" s="24"/>
      <c r="D48" s="24"/>
      <c r="E48" s="24"/>
      <c r="F48" s="24"/>
      <c r="G48" s="24"/>
    </row>
    <row r="49" spans="4:7" ht="15">
      <c r="D49" s="24"/>
      <c r="E49" s="24"/>
      <c r="F49" s="24"/>
      <c r="G49" s="24"/>
    </row>
    <row r="50" spans="1:7" ht="15">
      <c r="A50" s="23" t="s">
        <v>147</v>
      </c>
      <c r="C50" s="24"/>
      <c r="D50" s="24"/>
      <c r="E50" s="24"/>
      <c r="F50" s="24"/>
      <c r="G50" s="24"/>
    </row>
    <row r="51" spans="1:7" ht="15">
      <c r="A51" s="23" t="s">
        <v>148</v>
      </c>
      <c r="C51" s="24"/>
      <c r="D51" s="24"/>
      <c r="E51" s="24"/>
      <c r="F51" s="24"/>
      <c r="G51" s="24"/>
    </row>
    <row r="52" spans="3:7" ht="15">
      <c r="C52" s="24"/>
      <c r="D52" s="24"/>
      <c r="E52" s="24"/>
      <c r="F52" s="24"/>
      <c r="G52" s="24"/>
    </row>
    <row r="53" ht="14.25" customHeight="1"/>
    <row r="54" ht="14.25" customHeight="1"/>
    <row r="55" ht="14.25" customHeight="1"/>
    <row r="56" ht="14.25" customHeight="1"/>
    <row r="57" ht="14.25" customHeight="1"/>
    <row r="58" spans="2:11" ht="15" customHeight="1">
      <c r="B58" s="22"/>
      <c r="C58" s="22"/>
      <c r="F58" s="220" t="s">
        <v>70</v>
      </c>
      <c r="G58" s="221"/>
      <c r="H58" s="26"/>
      <c r="I58" s="26"/>
      <c r="K58" t="s">
        <v>41</v>
      </c>
    </row>
    <row r="59" spans="2:11" ht="15" customHeight="1">
      <c r="B59" s="186"/>
      <c r="C59" s="186"/>
      <c r="F59" s="219" t="s">
        <v>156</v>
      </c>
      <c r="G59" s="219"/>
      <c r="H59" s="27"/>
      <c r="I59" s="27"/>
      <c r="K59" t="s">
        <v>150</v>
      </c>
    </row>
    <row r="60" spans="2:9" ht="15" customHeight="1">
      <c r="B60" s="186"/>
      <c r="C60" s="186"/>
      <c r="F60" s="219"/>
      <c r="G60" s="219"/>
      <c r="H60" s="27"/>
      <c r="I60" s="27"/>
    </row>
    <row r="61" spans="1:9" s="19" customFormat="1" ht="15">
      <c r="A61"/>
      <c r="B61"/>
      <c r="C61"/>
      <c r="D61"/>
      <c r="E61"/>
      <c r="F61"/>
      <c r="G61"/>
      <c r="H61"/>
      <c r="I61"/>
    </row>
    <row r="63" spans="1:9" s="19" customFormat="1" ht="15">
      <c r="A63"/>
      <c r="B63"/>
      <c r="D63"/>
      <c r="E63"/>
      <c r="F63"/>
      <c r="G63"/>
      <c r="H63"/>
      <c r="I63"/>
    </row>
    <row r="64" spans="1:9" s="19" customFormat="1" ht="15">
      <c r="A64"/>
      <c r="B64"/>
      <c r="C64" s="4"/>
      <c r="D64"/>
      <c r="E64"/>
      <c r="F64"/>
      <c r="G64"/>
      <c r="H64"/>
      <c r="I64"/>
    </row>
  </sheetData>
  <sheetProtection/>
  <mergeCells count="18">
    <mergeCell ref="B60:C60"/>
    <mergeCell ref="F60:G60"/>
    <mergeCell ref="B14:B16"/>
    <mergeCell ref="C14:C16"/>
    <mergeCell ref="G14:G16"/>
    <mergeCell ref="F58:G58"/>
    <mergeCell ref="B59:C59"/>
    <mergeCell ref="F59:G5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0" fitToWidth="0" horizontalDpi="360" verticalDpi="36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69"/>
  <sheetViews>
    <sheetView zoomScale="90" zoomScaleNormal="90" zoomScalePageLayoutView="0" workbookViewId="0" topLeftCell="A1">
      <pane ySplit="10" topLeftCell="A26" activePane="bottomLeft" state="frozen"/>
      <selection pane="topLeft" activeCell="F51" sqref="F51:G52"/>
      <selection pane="bottomLeft" activeCell="F51" sqref="F51:G52"/>
    </sheetView>
  </sheetViews>
  <sheetFormatPr defaultColWidth="9.140625" defaultRowHeight="15"/>
  <cols>
    <col min="1" max="1" width="64.00390625" style="0" customWidth="1"/>
    <col min="2" max="3" width="16.00390625" style="0" customWidth="1"/>
    <col min="4" max="6" width="9.71093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21.421875" style="0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168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12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117">
        <v>3276089043</v>
      </c>
      <c r="L11" s="150" t="s">
        <v>154</v>
      </c>
    </row>
    <row r="12" spans="1:12" s="97" customFormat="1" ht="15">
      <c r="A12" s="40" t="s">
        <v>68</v>
      </c>
      <c r="B12" s="8">
        <f>+K12*0.3</f>
        <v>49141335.6</v>
      </c>
      <c r="C12" s="8">
        <f>+K12*0.7</f>
        <v>114663116.39999999</v>
      </c>
      <c r="D12" s="8"/>
      <c r="E12" s="8"/>
      <c r="F12" s="8"/>
      <c r="G12" s="81">
        <f>+B12+C12</f>
        <v>163804452</v>
      </c>
      <c r="H12" s="82"/>
      <c r="I12" s="80"/>
      <c r="K12" s="19">
        <v>163804452</v>
      </c>
      <c r="L12" s="149">
        <v>0.05</v>
      </c>
    </row>
    <row r="13" spans="1:12" ht="15">
      <c r="A13" s="40" t="s">
        <v>146</v>
      </c>
      <c r="B13" s="8"/>
      <c r="C13" s="8">
        <v>68279468.5</v>
      </c>
      <c r="D13" s="8"/>
      <c r="E13" s="8"/>
      <c r="F13" s="8"/>
      <c r="G13" s="81">
        <f>+C13</f>
        <v>68279468.5</v>
      </c>
      <c r="H13" s="82"/>
      <c r="I13" s="80"/>
      <c r="K13" s="19">
        <f>+K12*0.7</f>
        <v>114663116.39999999</v>
      </c>
      <c r="L13">
        <v>70</v>
      </c>
    </row>
    <row r="14" spans="1:12" ht="15">
      <c r="A14" s="41" t="s">
        <v>17</v>
      </c>
      <c r="B14" s="189">
        <f>+K25</f>
        <v>228626295.82000002</v>
      </c>
      <c r="C14" s="189"/>
      <c r="D14" s="10"/>
      <c r="E14" s="83"/>
      <c r="F14" s="83"/>
      <c r="G14" s="192">
        <f>+B14</f>
        <v>228626295.82000002</v>
      </c>
      <c r="H14" s="82"/>
      <c r="I14" s="80"/>
      <c r="K14" s="19">
        <f>+K12*0.3</f>
        <v>49141335.6</v>
      </c>
      <c r="L14">
        <v>30</v>
      </c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149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21</v>
      </c>
      <c r="B17" s="84"/>
      <c r="C17" s="84"/>
      <c r="D17" s="84"/>
      <c r="E17" s="84"/>
      <c r="F17" s="84"/>
      <c r="G17" s="85"/>
      <c r="H17" s="82"/>
      <c r="I17" s="80"/>
    </row>
    <row r="18" spans="1:9" s="16" customFormat="1" ht="15" hidden="1">
      <c r="A18" s="40" t="s">
        <v>22</v>
      </c>
      <c r="B18" s="8"/>
      <c r="C18" s="8"/>
      <c r="D18" s="8"/>
      <c r="E18" s="8"/>
      <c r="F18" s="8"/>
      <c r="G18" s="81"/>
      <c r="H18" s="82"/>
      <c r="I18" s="80"/>
    </row>
    <row r="19" spans="1:11" ht="15">
      <c r="A19" s="39" t="s">
        <v>23</v>
      </c>
      <c r="B19" s="86">
        <f>SUM(B12:B18)</f>
        <v>277767631.42</v>
      </c>
      <c r="C19" s="86">
        <f>SUM(C12:C18)</f>
        <v>182942584.89999998</v>
      </c>
      <c r="D19" s="8"/>
      <c r="E19" s="8"/>
      <c r="F19" s="8"/>
      <c r="G19" s="81">
        <f>SUM(B19:F19)</f>
        <v>460710216.32</v>
      </c>
      <c r="H19" s="82"/>
      <c r="I19" s="80"/>
      <c r="J19">
        <v>2014</v>
      </c>
      <c r="K19" s="4">
        <v>25751090</v>
      </c>
    </row>
    <row r="20" spans="1:11" ht="15">
      <c r="A20" s="39" t="s">
        <v>24</v>
      </c>
      <c r="B20" s="8"/>
      <c r="C20" s="8"/>
      <c r="D20" s="8"/>
      <c r="E20" s="8"/>
      <c r="F20" s="8"/>
      <c r="G20" s="81"/>
      <c r="H20" s="82"/>
      <c r="I20" s="80"/>
      <c r="J20">
        <v>2015</v>
      </c>
      <c r="K20" s="4">
        <v>31603481.5</v>
      </c>
    </row>
    <row r="21" spans="1:11" ht="15">
      <c r="A21" s="40" t="s">
        <v>25</v>
      </c>
      <c r="B21" s="8"/>
      <c r="C21" s="8"/>
      <c r="D21" s="8"/>
      <c r="E21" s="8"/>
      <c r="F21" s="8"/>
      <c r="G21" s="81"/>
      <c r="H21" s="82"/>
      <c r="I21" s="80"/>
      <c r="J21">
        <v>2016</v>
      </c>
      <c r="K21" s="4">
        <v>60262141.58</v>
      </c>
    </row>
    <row r="22" spans="1:11" ht="15">
      <c r="A22" s="40" t="s">
        <v>26</v>
      </c>
      <c r="B22" s="8"/>
      <c r="C22" s="8"/>
      <c r="D22" s="8"/>
      <c r="E22" s="8"/>
      <c r="F22" s="8"/>
      <c r="G22" s="81"/>
      <c r="H22" s="82"/>
      <c r="I22" s="80"/>
      <c r="J22">
        <v>2017</v>
      </c>
      <c r="K22" s="4">
        <v>45433875.53</v>
      </c>
    </row>
    <row r="23" spans="1:11" ht="15">
      <c r="A23" s="40" t="s">
        <v>27</v>
      </c>
      <c r="B23" s="8"/>
      <c r="C23" s="8"/>
      <c r="D23" s="8"/>
      <c r="E23" s="8"/>
      <c r="F23" s="8"/>
      <c r="G23" s="81"/>
      <c r="H23" s="82"/>
      <c r="I23" s="80"/>
      <c r="J23">
        <v>2018</v>
      </c>
      <c r="K23" s="4">
        <v>65575707.21</v>
      </c>
    </row>
    <row r="24" spans="1:9" ht="15" hidden="1">
      <c r="A24" s="40" t="s">
        <v>28</v>
      </c>
      <c r="B24" s="8"/>
      <c r="C24" s="8"/>
      <c r="D24" s="8"/>
      <c r="E24" s="8"/>
      <c r="F24" s="8"/>
      <c r="G24" s="81"/>
      <c r="H24" s="82"/>
      <c r="I24" s="80"/>
    </row>
    <row r="25" spans="1:11" ht="15.75" thickBot="1">
      <c r="A25" s="40" t="s">
        <v>45</v>
      </c>
      <c r="B25" s="8"/>
      <c r="C25" s="8"/>
      <c r="D25" s="8"/>
      <c r="E25" s="8"/>
      <c r="F25" s="8"/>
      <c r="G25" s="81"/>
      <c r="H25" s="82"/>
      <c r="I25" s="80"/>
      <c r="K25" s="148">
        <f>SUM(K19:K24)</f>
        <v>228626295.82000002</v>
      </c>
    </row>
    <row r="26" spans="1:9" ht="15.75" thickTop="1">
      <c r="A26" s="40" t="s">
        <v>165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159</v>
      </c>
      <c r="B27" s="8"/>
      <c r="C27" s="8">
        <f>26216.32+12358.91+31703.57+16658.99</f>
        <v>86937.79</v>
      </c>
      <c r="D27" s="8"/>
      <c r="E27" s="8"/>
      <c r="F27" s="8"/>
      <c r="G27" s="81"/>
      <c r="H27" s="82"/>
      <c r="I27" s="80"/>
    </row>
    <row r="28" spans="1:9" ht="15">
      <c r="A28" s="40" t="s">
        <v>171</v>
      </c>
      <c r="B28" s="8"/>
      <c r="C28" s="8">
        <f>199750+281062.5</f>
        <v>480812.5</v>
      </c>
      <c r="D28" s="8"/>
      <c r="E28" s="8"/>
      <c r="F28" s="8"/>
      <c r="G28" s="81"/>
      <c r="H28" s="82"/>
      <c r="I28" s="80"/>
    </row>
    <row r="29" spans="1:9" ht="15">
      <c r="A29" s="40" t="s">
        <v>166</v>
      </c>
      <c r="B29" s="8"/>
      <c r="C29" s="8">
        <f>11690+11690+10570</f>
        <v>33950</v>
      </c>
      <c r="D29" s="8"/>
      <c r="E29" s="8"/>
      <c r="F29" s="8"/>
      <c r="G29" s="81"/>
      <c r="H29" s="82"/>
      <c r="I29" s="80"/>
    </row>
    <row r="30" spans="1:9" ht="15">
      <c r="A30" s="40" t="s">
        <v>81</v>
      </c>
      <c r="B30" s="8"/>
      <c r="C30" s="8">
        <f>4183.18+4183.18+7670.47+4258.33+1999</f>
        <v>22294.160000000003</v>
      </c>
      <c r="D30" s="8"/>
      <c r="E30" s="8"/>
      <c r="F30" s="8"/>
      <c r="G30" s="81"/>
      <c r="H30" s="82"/>
      <c r="I30" s="80"/>
    </row>
    <row r="31" spans="1:9" ht="15">
      <c r="A31" s="40" t="s">
        <v>158</v>
      </c>
      <c r="B31" s="8"/>
      <c r="C31" s="8"/>
      <c r="D31" s="8"/>
      <c r="E31" s="8"/>
      <c r="F31" s="8"/>
      <c r="G31" s="81"/>
      <c r="H31" s="82"/>
      <c r="I31" s="80"/>
    </row>
    <row r="32" spans="1:9" ht="15">
      <c r="A32" s="40" t="s">
        <v>162</v>
      </c>
      <c r="B32" s="8"/>
      <c r="C32" s="8">
        <f>241880+176331</f>
        <v>418211</v>
      </c>
      <c r="D32" s="8"/>
      <c r="E32" s="8"/>
      <c r="F32" s="8"/>
      <c r="G32" s="81"/>
      <c r="H32" s="82"/>
      <c r="I32" s="80"/>
    </row>
    <row r="33" spans="1:9" ht="15">
      <c r="A33" s="40" t="s">
        <v>164</v>
      </c>
      <c r="B33" s="8"/>
      <c r="C33" s="8">
        <f>167975+137445</f>
        <v>305420</v>
      </c>
      <c r="D33" s="8"/>
      <c r="E33" s="8"/>
      <c r="F33" s="8"/>
      <c r="G33" s="81"/>
      <c r="H33" s="82"/>
      <c r="I33" s="80"/>
    </row>
    <row r="34" spans="1:11" ht="15">
      <c r="A34" s="40" t="s">
        <v>173</v>
      </c>
      <c r="B34" s="8"/>
      <c r="C34" s="8">
        <v>189840</v>
      </c>
      <c r="D34" s="8"/>
      <c r="E34" s="8"/>
      <c r="F34" s="8"/>
      <c r="G34" s="81"/>
      <c r="H34" s="82"/>
      <c r="I34" s="80"/>
      <c r="K34" t="s">
        <v>155</v>
      </c>
    </row>
    <row r="35" spans="1:9" ht="15">
      <c r="A35" s="40" t="s">
        <v>90</v>
      </c>
      <c r="B35" s="8"/>
      <c r="C35" s="8">
        <v>98200</v>
      </c>
      <c r="D35" s="8"/>
      <c r="E35" s="8"/>
      <c r="F35" s="8"/>
      <c r="G35" s="81"/>
      <c r="H35" s="82"/>
      <c r="I35" s="80"/>
    </row>
    <row r="36" spans="1:9" ht="15">
      <c r="A36" s="40" t="s">
        <v>91</v>
      </c>
      <c r="B36" s="8"/>
      <c r="C36" s="8">
        <v>192000</v>
      </c>
      <c r="D36" s="8"/>
      <c r="E36" s="8"/>
      <c r="F36" s="8"/>
      <c r="G36" s="81"/>
      <c r="H36" s="82"/>
      <c r="I36" s="80"/>
    </row>
    <row r="37" spans="1:9" ht="15" customHeight="1">
      <c r="A37" s="40" t="s">
        <v>169</v>
      </c>
      <c r="B37" s="8"/>
      <c r="C37" s="8">
        <v>62368.29</v>
      </c>
      <c r="D37" s="8"/>
      <c r="E37" s="8"/>
      <c r="F37" s="8"/>
      <c r="G37" s="81"/>
      <c r="H37" s="82"/>
      <c r="I37" s="80"/>
    </row>
    <row r="38" spans="1:9" ht="15" customHeight="1">
      <c r="A38" s="41" t="s">
        <v>170</v>
      </c>
      <c r="B38" s="8"/>
      <c r="C38" s="8">
        <v>2679.36</v>
      </c>
      <c r="D38" s="8"/>
      <c r="E38" s="8"/>
      <c r="F38" s="8"/>
      <c r="G38" s="81"/>
      <c r="H38" s="82"/>
      <c r="I38" s="80"/>
    </row>
    <row r="39" spans="1:9" ht="15" customHeight="1">
      <c r="A39" s="40" t="s">
        <v>92</v>
      </c>
      <c r="B39" s="8"/>
      <c r="C39" s="8">
        <v>212500</v>
      </c>
      <c r="D39" s="8"/>
      <c r="E39" s="8"/>
      <c r="F39" s="8"/>
      <c r="G39" s="81"/>
      <c r="H39" s="82"/>
      <c r="I39" s="80"/>
    </row>
    <row r="40" spans="1:9" ht="15">
      <c r="A40" s="42" t="s">
        <v>31</v>
      </c>
      <c r="B40" s="8"/>
      <c r="C40" s="8"/>
      <c r="D40" s="8"/>
      <c r="E40" s="8"/>
      <c r="F40" s="8"/>
      <c r="G40" s="81"/>
      <c r="H40" s="82"/>
      <c r="I40" s="80"/>
    </row>
    <row r="41" spans="1:9" ht="15">
      <c r="A41" s="40" t="s">
        <v>32</v>
      </c>
      <c r="B41" s="8"/>
      <c r="C41" s="8"/>
      <c r="D41" s="8"/>
      <c r="E41" s="8"/>
      <c r="F41" s="8"/>
      <c r="G41" s="81"/>
      <c r="H41" s="82"/>
      <c r="I41" s="80"/>
    </row>
    <row r="42" spans="1:9" ht="15">
      <c r="A42" s="40" t="s">
        <v>167</v>
      </c>
      <c r="B42" s="8"/>
      <c r="C42" s="8">
        <v>9936000</v>
      </c>
      <c r="D42" s="8"/>
      <c r="E42" s="8"/>
      <c r="F42" s="8"/>
      <c r="G42" s="81"/>
      <c r="H42" s="82"/>
      <c r="I42" s="80"/>
    </row>
    <row r="43" spans="1:9" ht="15">
      <c r="A43" s="40" t="s">
        <v>172</v>
      </c>
      <c r="B43" s="8"/>
      <c r="C43" s="8">
        <v>4497000</v>
      </c>
      <c r="D43" s="8"/>
      <c r="E43" s="8"/>
      <c r="F43" s="8"/>
      <c r="G43" s="81"/>
      <c r="H43" s="82"/>
      <c r="I43" s="80"/>
    </row>
    <row r="44" spans="1:9" ht="15">
      <c r="A44" s="40" t="s">
        <v>33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40" t="s">
        <v>34</v>
      </c>
      <c r="B45" s="8"/>
      <c r="C45" s="8"/>
      <c r="D45" s="8"/>
      <c r="E45" s="8"/>
      <c r="F45" s="8"/>
      <c r="G45" s="81"/>
      <c r="H45" s="82"/>
      <c r="I45" s="80"/>
    </row>
    <row r="46" spans="1:9" ht="15">
      <c r="A46" s="39" t="s">
        <v>35</v>
      </c>
      <c r="B46" s="86">
        <f>+SUM(B20:B45)</f>
        <v>0</v>
      </c>
      <c r="C46" s="86">
        <f>+SUM(C20:C45)</f>
        <v>16538213.100000001</v>
      </c>
      <c r="D46" s="8"/>
      <c r="E46" s="8"/>
      <c r="F46" s="8"/>
      <c r="G46" s="89"/>
      <c r="H46" s="82"/>
      <c r="I46" s="80"/>
    </row>
    <row r="47" spans="1:9" ht="15.75" thickBot="1">
      <c r="A47" s="44" t="s">
        <v>36</v>
      </c>
      <c r="B47" s="90">
        <f>+B19-B46</f>
        <v>277767631.42</v>
      </c>
      <c r="C47" s="90">
        <f>+C19-C46</f>
        <v>166404371.79999998</v>
      </c>
      <c r="D47" s="91"/>
      <c r="E47" s="91"/>
      <c r="F47" s="91"/>
      <c r="G47" s="92">
        <f>+G19</f>
        <v>460710216.32</v>
      </c>
      <c r="H47" s="82"/>
      <c r="I47" s="80"/>
    </row>
    <row r="48" spans="1:9" ht="15">
      <c r="A48" s="20"/>
      <c r="B48" s="21"/>
      <c r="C48" s="21"/>
      <c r="D48" s="7"/>
      <c r="E48" s="7"/>
      <c r="F48" s="7"/>
      <c r="G48" s="21"/>
      <c r="H48" s="7"/>
      <c r="I48" s="22"/>
    </row>
    <row r="49" spans="1:9" ht="15">
      <c r="A49" s="24" t="s">
        <v>151</v>
      </c>
      <c r="B49" s="21"/>
      <c r="C49" s="21"/>
      <c r="D49" s="7"/>
      <c r="E49" s="7"/>
      <c r="F49" s="7"/>
      <c r="G49" s="21"/>
      <c r="H49" s="7"/>
      <c r="I49" s="22"/>
    </row>
    <row r="50" spans="1:7" ht="15">
      <c r="A50" s="24"/>
      <c r="D50" s="24"/>
      <c r="E50" s="24"/>
      <c r="F50" s="24"/>
      <c r="G50" s="24"/>
    </row>
    <row r="51" spans="4:7" ht="15">
      <c r="D51" s="24"/>
      <c r="E51" s="24"/>
      <c r="F51" s="24"/>
      <c r="G51" s="24"/>
    </row>
    <row r="52" spans="1:7" ht="15">
      <c r="A52" s="23" t="s">
        <v>147</v>
      </c>
      <c r="C52" s="24"/>
      <c r="D52" s="24"/>
      <c r="E52" s="24"/>
      <c r="F52" s="24"/>
      <c r="G52" s="24"/>
    </row>
    <row r="53" spans="1:7" ht="15">
      <c r="A53" s="23" t="s">
        <v>148</v>
      </c>
      <c r="C53" s="24"/>
      <c r="D53" s="24"/>
      <c r="E53" s="24"/>
      <c r="F53" s="24"/>
      <c r="G53" s="24"/>
    </row>
    <row r="54" spans="3:7" ht="15">
      <c r="C54" s="24"/>
      <c r="D54" s="24"/>
      <c r="E54" s="24"/>
      <c r="F54" s="24"/>
      <c r="G54" s="24"/>
    </row>
    <row r="55" ht="14.25" customHeight="1"/>
    <row r="56" ht="14.25" customHeight="1"/>
    <row r="57" ht="14.25" customHeight="1"/>
    <row r="58" ht="14.25" customHeight="1"/>
    <row r="59" ht="14.25" customHeight="1"/>
    <row r="60" spans="2:11" ht="15" customHeight="1">
      <c r="B60" s="22"/>
      <c r="C60" s="22"/>
      <c r="F60" s="220" t="s">
        <v>70</v>
      </c>
      <c r="G60" s="221"/>
      <c r="H60" s="26"/>
      <c r="I60" s="26"/>
      <c r="K60" t="s">
        <v>41</v>
      </c>
    </row>
    <row r="61" spans="2:11" ht="15" customHeight="1">
      <c r="B61" s="186"/>
      <c r="C61" s="186"/>
      <c r="F61" s="219" t="s">
        <v>156</v>
      </c>
      <c r="G61" s="219"/>
      <c r="H61" s="27"/>
      <c r="I61" s="27"/>
      <c r="K61" t="s">
        <v>150</v>
      </c>
    </row>
    <row r="62" spans="2:9" ht="15" customHeight="1">
      <c r="B62" s="186"/>
      <c r="C62" s="186"/>
      <c r="F62" s="219"/>
      <c r="G62" s="219"/>
      <c r="H62" s="27"/>
      <c r="I62" s="27"/>
    </row>
    <row r="63" spans="1:9" s="19" customFormat="1" ht="15">
      <c r="A63"/>
      <c r="B63"/>
      <c r="C63" s="4"/>
      <c r="D63"/>
      <c r="E63"/>
      <c r="F63"/>
      <c r="G63"/>
      <c r="H63"/>
      <c r="I63"/>
    </row>
    <row r="64" ht="15">
      <c r="C64" s="4"/>
    </row>
    <row r="65" spans="1:9" s="19" customFormat="1" ht="15">
      <c r="A65"/>
      <c r="B65"/>
      <c r="D65"/>
      <c r="E65"/>
      <c r="F65"/>
      <c r="G65"/>
      <c r="H65"/>
      <c r="I65"/>
    </row>
    <row r="66" spans="1:9" s="19" customFormat="1" ht="15">
      <c r="A66"/>
      <c r="B66"/>
      <c r="C66" s="4"/>
      <c r="D66"/>
      <c r="E66"/>
      <c r="F66"/>
      <c r="G66"/>
      <c r="H66"/>
      <c r="I66"/>
    </row>
    <row r="68" ht="15">
      <c r="C68" s="86">
        <v>17152010.560000002</v>
      </c>
    </row>
    <row r="69" ht="15">
      <c r="C69" s="4">
        <f>+C68-C46</f>
        <v>613797.4600000009</v>
      </c>
    </row>
  </sheetData>
  <sheetProtection/>
  <mergeCells count="18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B62:C62"/>
    <mergeCell ref="F62:G62"/>
    <mergeCell ref="B14:B16"/>
    <mergeCell ref="C14:C16"/>
    <mergeCell ref="G14:G16"/>
    <mergeCell ref="F60:G60"/>
    <mergeCell ref="B61:C61"/>
    <mergeCell ref="F61:G61"/>
  </mergeCells>
  <printOptions horizontalCentered="1"/>
  <pageMargins left="0.25" right="0.25" top="0.75" bottom="0.75" header="0.3" footer="0.3"/>
  <pageSetup fitToHeight="0" fitToWidth="0" horizontalDpi="360" verticalDpi="36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69"/>
  <sheetViews>
    <sheetView zoomScale="90" zoomScaleNormal="90" zoomScalePageLayoutView="0" workbookViewId="0" topLeftCell="A1">
      <pane ySplit="10" topLeftCell="A26" activePane="bottomLeft" state="frozen"/>
      <selection pane="topLeft" activeCell="F51" sqref="F51:G52"/>
      <selection pane="bottomLeft" activeCell="F51" sqref="F51:G52"/>
    </sheetView>
  </sheetViews>
  <sheetFormatPr defaultColWidth="9.140625" defaultRowHeight="15"/>
  <cols>
    <col min="1" max="1" width="64.00390625" style="0" customWidth="1"/>
    <col min="2" max="3" width="16.00390625" style="0" customWidth="1"/>
    <col min="4" max="6" width="9.71093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21.421875" style="0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174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12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117">
        <v>3276089043</v>
      </c>
      <c r="L11" s="150" t="s">
        <v>154</v>
      </c>
    </row>
    <row r="12" spans="1:12" s="97" customFormat="1" ht="15">
      <c r="A12" s="40" t="s">
        <v>68</v>
      </c>
      <c r="B12" s="8">
        <f>+K12*0.3</f>
        <v>49141335.6</v>
      </c>
      <c r="C12" s="8">
        <f>+K12*0.7</f>
        <v>114663116.39999999</v>
      </c>
      <c r="D12" s="8"/>
      <c r="E12" s="8"/>
      <c r="F12" s="8"/>
      <c r="G12" s="81">
        <f>+B12+C12</f>
        <v>163804452</v>
      </c>
      <c r="H12" s="82"/>
      <c r="I12" s="80"/>
      <c r="K12" s="19">
        <v>163804452</v>
      </c>
      <c r="L12" s="149">
        <v>0.05</v>
      </c>
    </row>
    <row r="13" spans="1:12" ht="15">
      <c r="A13" s="40" t="s">
        <v>146</v>
      </c>
      <c r="B13" s="8"/>
      <c r="C13" s="8">
        <v>68279468.5</v>
      </c>
      <c r="D13" s="8"/>
      <c r="E13" s="8"/>
      <c r="F13" s="8"/>
      <c r="G13" s="81">
        <f>+C13</f>
        <v>68279468.5</v>
      </c>
      <c r="H13" s="82"/>
      <c r="I13" s="80"/>
      <c r="K13" s="19">
        <f>+K12*0.7</f>
        <v>114663116.39999999</v>
      </c>
      <c r="L13">
        <v>70</v>
      </c>
    </row>
    <row r="14" spans="1:12" ht="15">
      <c r="A14" s="41" t="s">
        <v>17</v>
      </c>
      <c r="B14" s="189">
        <f>+K25</f>
        <v>228626295.82000002</v>
      </c>
      <c r="C14" s="189"/>
      <c r="D14" s="10"/>
      <c r="E14" s="83"/>
      <c r="F14" s="83"/>
      <c r="G14" s="192">
        <f>+B14</f>
        <v>228626295.82000002</v>
      </c>
      <c r="H14" s="82"/>
      <c r="I14" s="80"/>
      <c r="K14" s="19">
        <f>+K12*0.3</f>
        <v>49141335.6</v>
      </c>
      <c r="L14">
        <v>30</v>
      </c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149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21</v>
      </c>
      <c r="B17" s="84"/>
      <c r="C17" s="84"/>
      <c r="D17" s="84"/>
      <c r="E17" s="84"/>
      <c r="F17" s="84"/>
      <c r="G17" s="85"/>
      <c r="H17" s="82"/>
      <c r="I17" s="80"/>
    </row>
    <row r="18" spans="1:9" s="16" customFormat="1" ht="15" hidden="1">
      <c r="A18" s="40" t="s">
        <v>22</v>
      </c>
      <c r="B18" s="8"/>
      <c r="C18" s="8"/>
      <c r="D18" s="8"/>
      <c r="E18" s="8"/>
      <c r="F18" s="8"/>
      <c r="G18" s="81"/>
      <c r="H18" s="82"/>
      <c r="I18" s="80"/>
    </row>
    <row r="19" spans="1:11" ht="15">
      <c r="A19" s="39" t="s">
        <v>23</v>
      </c>
      <c r="B19" s="86">
        <f>SUM(B12:B18)</f>
        <v>277767631.42</v>
      </c>
      <c r="C19" s="86">
        <f>SUM(C12:C18)</f>
        <v>182942584.89999998</v>
      </c>
      <c r="D19" s="8"/>
      <c r="E19" s="8"/>
      <c r="F19" s="8"/>
      <c r="G19" s="81">
        <f>SUM(B19:F19)</f>
        <v>460710216.32</v>
      </c>
      <c r="H19" s="82"/>
      <c r="I19" s="80"/>
      <c r="J19">
        <v>2014</v>
      </c>
      <c r="K19" s="4">
        <v>25751090</v>
      </c>
    </row>
    <row r="20" spans="1:11" ht="15">
      <c r="A20" s="39" t="s">
        <v>24</v>
      </c>
      <c r="B20" s="8"/>
      <c r="C20" s="8"/>
      <c r="D20" s="8"/>
      <c r="E20" s="8"/>
      <c r="F20" s="8"/>
      <c r="G20" s="81"/>
      <c r="H20" s="82"/>
      <c r="I20" s="80"/>
      <c r="J20">
        <v>2015</v>
      </c>
      <c r="K20" s="4">
        <v>31603481.5</v>
      </c>
    </row>
    <row r="21" spans="1:11" ht="15">
      <c r="A21" s="40" t="s">
        <v>25</v>
      </c>
      <c r="B21" s="8"/>
      <c r="C21" s="8"/>
      <c r="D21" s="8"/>
      <c r="E21" s="8"/>
      <c r="F21" s="8"/>
      <c r="G21" s="81"/>
      <c r="H21" s="82"/>
      <c r="I21" s="80"/>
      <c r="J21">
        <v>2016</v>
      </c>
      <c r="K21" s="4">
        <v>60262141.58</v>
      </c>
    </row>
    <row r="22" spans="1:11" ht="15">
      <c r="A22" s="40" t="s">
        <v>26</v>
      </c>
      <c r="B22" s="8"/>
      <c r="C22" s="8"/>
      <c r="D22" s="8"/>
      <c r="E22" s="8"/>
      <c r="F22" s="8"/>
      <c r="G22" s="81"/>
      <c r="H22" s="82"/>
      <c r="I22" s="80"/>
      <c r="J22">
        <v>2017</v>
      </c>
      <c r="K22" s="4">
        <v>45433875.53</v>
      </c>
    </row>
    <row r="23" spans="1:11" ht="15">
      <c r="A23" s="40" t="s">
        <v>27</v>
      </c>
      <c r="B23" s="8"/>
      <c r="C23" s="8"/>
      <c r="D23" s="8"/>
      <c r="E23" s="8"/>
      <c r="F23" s="8"/>
      <c r="G23" s="81"/>
      <c r="H23" s="82"/>
      <c r="I23" s="80"/>
      <c r="J23">
        <v>2018</v>
      </c>
      <c r="K23" s="4">
        <v>65575707.21</v>
      </c>
    </row>
    <row r="24" spans="1:9" ht="15" hidden="1">
      <c r="A24" s="40" t="s">
        <v>28</v>
      </c>
      <c r="B24" s="8"/>
      <c r="C24" s="8"/>
      <c r="D24" s="8"/>
      <c r="E24" s="8"/>
      <c r="F24" s="8"/>
      <c r="G24" s="81"/>
      <c r="H24" s="82"/>
      <c r="I24" s="80"/>
    </row>
    <row r="25" spans="1:11" ht="15.75" thickBot="1">
      <c r="A25" s="40" t="s">
        <v>45</v>
      </c>
      <c r="B25" s="8"/>
      <c r="C25" s="8"/>
      <c r="D25" s="8"/>
      <c r="E25" s="8"/>
      <c r="F25" s="8"/>
      <c r="G25" s="81"/>
      <c r="H25" s="82"/>
      <c r="I25" s="80"/>
      <c r="K25" s="148">
        <f>SUM(K19:K24)</f>
        <v>228626295.82000002</v>
      </c>
    </row>
    <row r="26" spans="1:9" ht="15.75" thickTop="1">
      <c r="A26" s="40" t="s">
        <v>165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159</v>
      </c>
      <c r="B27" s="8"/>
      <c r="C27" s="8">
        <f>26216.32+12358.91+31703.57+16658.99+60000</f>
        <v>146937.78999999998</v>
      </c>
      <c r="D27" s="8"/>
      <c r="E27" s="8"/>
      <c r="F27" s="8"/>
      <c r="G27" s="81"/>
      <c r="H27" s="82"/>
      <c r="I27" s="80"/>
    </row>
    <row r="28" spans="1:9" ht="15">
      <c r="A28" s="40" t="s">
        <v>171</v>
      </c>
      <c r="B28" s="8"/>
      <c r="C28" s="8">
        <f>199750+281062.5+71910+281062.5</f>
        <v>833785</v>
      </c>
      <c r="D28" s="8"/>
      <c r="E28" s="8"/>
      <c r="F28" s="8"/>
      <c r="G28" s="81"/>
      <c r="H28" s="82"/>
      <c r="I28" s="80"/>
    </row>
    <row r="29" spans="1:9" ht="15">
      <c r="A29" s="40" t="s">
        <v>176</v>
      </c>
      <c r="B29" s="8"/>
      <c r="C29" s="8">
        <v>185875</v>
      </c>
      <c r="D29" s="8"/>
      <c r="E29" s="8"/>
      <c r="F29" s="8"/>
      <c r="G29" s="81"/>
      <c r="H29" s="82"/>
      <c r="I29" s="80"/>
    </row>
    <row r="30" spans="1:9" ht="15">
      <c r="A30" s="40" t="s">
        <v>166</v>
      </c>
      <c r="B30" s="8"/>
      <c r="C30" s="8">
        <f>11690+11690+10570+9740</f>
        <v>43690</v>
      </c>
      <c r="D30" s="8"/>
      <c r="E30" s="8"/>
      <c r="F30" s="8"/>
      <c r="G30" s="81"/>
      <c r="H30" s="82"/>
      <c r="I30" s="80"/>
    </row>
    <row r="31" spans="1:9" ht="15">
      <c r="A31" s="40" t="s">
        <v>81</v>
      </c>
      <c r="B31" s="8"/>
      <c r="C31" s="8">
        <f>4183.18+4183.18+7670.47+4258.33+1999+4208.67</f>
        <v>26502.83</v>
      </c>
      <c r="D31" s="8"/>
      <c r="E31" s="8"/>
      <c r="F31" s="8"/>
      <c r="G31" s="81"/>
      <c r="H31" s="82"/>
      <c r="I31" s="80"/>
    </row>
    <row r="32" spans="1:9" ht="15">
      <c r="A32" s="40" t="s">
        <v>175</v>
      </c>
      <c r="B32" s="8"/>
      <c r="C32" s="8">
        <v>1001.29</v>
      </c>
      <c r="D32" s="8"/>
      <c r="E32" s="8"/>
      <c r="F32" s="8"/>
      <c r="G32" s="81"/>
      <c r="H32" s="82"/>
      <c r="I32" s="80"/>
    </row>
    <row r="33" spans="1:9" ht="15">
      <c r="A33" s="40" t="s">
        <v>162</v>
      </c>
      <c r="B33" s="8"/>
      <c r="C33" s="8">
        <f>241880+176331</f>
        <v>418211</v>
      </c>
      <c r="D33" s="8"/>
      <c r="E33" s="8"/>
      <c r="F33" s="8"/>
      <c r="G33" s="81"/>
      <c r="H33" s="82"/>
      <c r="I33" s="80"/>
    </row>
    <row r="34" spans="1:9" ht="15">
      <c r="A34" s="40" t="s">
        <v>164</v>
      </c>
      <c r="B34" s="8"/>
      <c r="C34" s="8">
        <f>167975+137445</f>
        <v>305420</v>
      </c>
      <c r="D34" s="8"/>
      <c r="E34" s="8"/>
      <c r="F34" s="8"/>
      <c r="G34" s="81"/>
      <c r="H34" s="82"/>
      <c r="I34" s="80"/>
    </row>
    <row r="35" spans="1:11" ht="15">
      <c r="A35" s="40" t="s">
        <v>173</v>
      </c>
      <c r="B35" s="8"/>
      <c r="C35" s="8">
        <v>189840</v>
      </c>
      <c r="D35" s="8"/>
      <c r="E35" s="8"/>
      <c r="F35" s="8"/>
      <c r="G35" s="81"/>
      <c r="H35" s="82"/>
      <c r="I35" s="80"/>
      <c r="K35" t="s">
        <v>155</v>
      </c>
    </row>
    <row r="36" spans="1:9" ht="15">
      <c r="A36" s="40" t="s">
        <v>90</v>
      </c>
      <c r="B36" s="8"/>
      <c r="C36" s="8">
        <v>98200</v>
      </c>
      <c r="D36" s="8"/>
      <c r="E36" s="8"/>
      <c r="F36" s="8"/>
      <c r="G36" s="81"/>
      <c r="H36" s="82"/>
      <c r="I36" s="80"/>
    </row>
    <row r="37" spans="1:9" ht="15">
      <c r="A37" s="40" t="s">
        <v>91</v>
      </c>
      <c r="B37" s="8"/>
      <c r="C37" s="8">
        <v>192000</v>
      </c>
      <c r="D37" s="8"/>
      <c r="E37" s="8"/>
      <c r="F37" s="8"/>
      <c r="G37" s="81"/>
      <c r="H37" s="82"/>
      <c r="I37" s="80"/>
    </row>
    <row r="38" spans="1:9" ht="15" customHeight="1">
      <c r="A38" s="40" t="s">
        <v>169</v>
      </c>
      <c r="B38" s="8"/>
      <c r="C38" s="8">
        <v>62368.29</v>
      </c>
      <c r="D38" s="8"/>
      <c r="E38" s="8"/>
      <c r="F38" s="8"/>
      <c r="G38" s="81"/>
      <c r="H38" s="82"/>
      <c r="I38" s="80"/>
    </row>
    <row r="39" spans="1:9" ht="15" customHeight="1">
      <c r="A39" s="41" t="s">
        <v>170</v>
      </c>
      <c r="B39" s="8"/>
      <c r="C39" s="8">
        <v>2679.36</v>
      </c>
      <c r="D39" s="8"/>
      <c r="E39" s="8"/>
      <c r="F39" s="8"/>
      <c r="G39" s="81"/>
      <c r="H39" s="82"/>
      <c r="I39" s="80"/>
    </row>
    <row r="40" spans="1:9" ht="15" customHeight="1">
      <c r="A40" s="40" t="s">
        <v>92</v>
      </c>
      <c r="B40" s="8"/>
      <c r="C40" s="8">
        <v>212500</v>
      </c>
      <c r="D40" s="8"/>
      <c r="E40" s="8"/>
      <c r="F40" s="8"/>
      <c r="G40" s="81"/>
      <c r="H40" s="82"/>
      <c r="I40" s="80"/>
    </row>
    <row r="41" spans="1:9" ht="15">
      <c r="A41" s="42" t="s">
        <v>31</v>
      </c>
      <c r="B41" s="8"/>
      <c r="C41" s="8"/>
      <c r="D41" s="8"/>
      <c r="E41" s="8"/>
      <c r="F41" s="8"/>
      <c r="G41" s="81"/>
      <c r="H41" s="82"/>
      <c r="I41" s="80"/>
    </row>
    <row r="42" spans="1:9" ht="15">
      <c r="A42" s="40" t="s">
        <v>32</v>
      </c>
      <c r="B42" s="8"/>
      <c r="C42" s="8"/>
      <c r="D42" s="8"/>
      <c r="E42" s="8"/>
      <c r="F42" s="8"/>
      <c r="G42" s="81"/>
      <c r="H42" s="82"/>
      <c r="I42" s="80"/>
    </row>
    <row r="43" spans="1:9" ht="15">
      <c r="A43" s="40" t="s">
        <v>167</v>
      </c>
      <c r="B43" s="8"/>
      <c r="C43" s="8">
        <v>9936000</v>
      </c>
      <c r="D43" s="8"/>
      <c r="E43" s="8"/>
      <c r="F43" s="8"/>
      <c r="G43" s="81"/>
      <c r="H43" s="82"/>
      <c r="I43" s="80"/>
    </row>
    <row r="44" spans="1:9" ht="15">
      <c r="A44" s="40" t="s">
        <v>172</v>
      </c>
      <c r="B44" s="8"/>
      <c r="C44" s="8">
        <v>4497000</v>
      </c>
      <c r="D44" s="8"/>
      <c r="E44" s="8"/>
      <c r="F44" s="8"/>
      <c r="G44" s="81"/>
      <c r="H44" s="82"/>
      <c r="I44" s="80"/>
    </row>
    <row r="45" spans="1:9" ht="15">
      <c r="A45" s="40" t="s">
        <v>33</v>
      </c>
      <c r="B45" s="8"/>
      <c r="C45" s="8"/>
      <c r="D45" s="8"/>
      <c r="E45" s="8"/>
      <c r="F45" s="8"/>
      <c r="G45" s="81"/>
      <c r="H45" s="82"/>
      <c r="I45" s="80"/>
    </row>
    <row r="46" spans="1:9" ht="15">
      <c r="A46" s="40" t="s">
        <v>34</v>
      </c>
      <c r="B46" s="8"/>
      <c r="C46" s="8"/>
      <c r="D46" s="8"/>
      <c r="E46" s="8"/>
      <c r="F46" s="8"/>
      <c r="G46" s="81"/>
      <c r="H46" s="82"/>
      <c r="I46" s="80"/>
    </row>
    <row r="47" spans="1:9" ht="15">
      <c r="A47" s="39" t="s">
        <v>35</v>
      </c>
      <c r="B47" s="86">
        <f>+SUM(B20:B46)</f>
        <v>0</v>
      </c>
      <c r="C47" s="86">
        <f>+SUM(C20:C46)</f>
        <v>17152010.560000002</v>
      </c>
      <c r="D47" s="8"/>
      <c r="E47" s="8"/>
      <c r="F47" s="8"/>
      <c r="G47" s="89"/>
      <c r="H47" s="82"/>
      <c r="I47" s="80"/>
    </row>
    <row r="48" spans="1:9" ht="15.75" thickBot="1">
      <c r="A48" s="44" t="s">
        <v>36</v>
      </c>
      <c r="B48" s="90">
        <f>+B19-B47</f>
        <v>277767631.42</v>
      </c>
      <c r="C48" s="90">
        <f>+C19-C47</f>
        <v>165790574.33999997</v>
      </c>
      <c r="D48" s="91"/>
      <c r="E48" s="91"/>
      <c r="F48" s="91"/>
      <c r="G48" s="92">
        <f>+G19</f>
        <v>460710216.32</v>
      </c>
      <c r="H48" s="82"/>
      <c r="I48" s="80"/>
    </row>
    <row r="49" spans="1:9" ht="15">
      <c r="A49" s="20"/>
      <c r="B49" s="21"/>
      <c r="C49" s="21"/>
      <c r="D49" s="7"/>
      <c r="E49" s="7"/>
      <c r="F49" s="7"/>
      <c r="G49" s="21"/>
      <c r="H49" s="7"/>
      <c r="I49" s="22"/>
    </row>
    <row r="50" spans="1:9" ht="15">
      <c r="A50" s="24" t="s">
        <v>151</v>
      </c>
      <c r="B50" s="21"/>
      <c r="C50" s="21"/>
      <c r="D50" s="7"/>
      <c r="E50" s="7"/>
      <c r="F50" s="7"/>
      <c r="G50" s="21"/>
      <c r="H50" s="7"/>
      <c r="I50" s="22"/>
    </row>
    <row r="51" spans="1:7" ht="15">
      <c r="A51" s="24"/>
      <c r="D51" s="24"/>
      <c r="E51" s="24"/>
      <c r="F51" s="24"/>
      <c r="G51" s="24"/>
    </row>
    <row r="52" spans="4:7" ht="15">
      <c r="D52" s="24"/>
      <c r="E52" s="24"/>
      <c r="F52" s="24"/>
      <c r="G52" s="24"/>
    </row>
    <row r="53" spans="1:7" ht="15">
      <c r="A53" s="23" t="s">
        <v>147</v>
      </c>
      <c r="C53" s="24"/>
      <c r="D53" s="24"/>
      <c r="E53" s="24"/>
      <c r="F53" s="24"/>
      <c r="G53" s="24"/>
    </row>
    <row r="54" spans="1:7" ht="15">
      <c r="A54" s="23" t="s">
        <v>148</v>
      </c>
      <c r="C54" s="24"/>
      <c r="D54" s="24"/>
      <c r="E54" s="24"/>
      <c r="F54" s="24"/>
      <c r="G54" s="24"/>
    </row>
    <row r="55" spans="3:7" ht="15">
      <c r="C55" s="24"/>
      <c r="D55" s="24"/>
      <c r="E55" s="24"/>
      <c r="F55" s="24"/>
      <c r="G55" s="24"/>
    </row>
    <row r="56" ht="14.25" customHeight="1"/>
    <row r="57" ht="14.25" customHeight="1"/>
    <row r="58" ht="14.25" customHeight="1"/>
    <row r="59" ht="14.25" customHeight="1"/>
    <row r="60" ht="14.25" customHeight="1"/>
    <row r="61" spans="2:11" ht="15" customHeight="1">
      <c r="B61" s="22"/>
      <c r="C61" s="22"/>
      <c r="F61" s="220" t="s">
        <v>70</v>
      </c>
      <c r="G61" s="221"/>
      <c r="H61" s="26"/>
      <c r="I61" s="26"/>
      <c r="K61" t="s">
        <v>41</v>
      </c>
    </row>
    <row r="62" spans="2:11" ht="15" customHeight="1">
      <c r="B62" s="186"/>
      <c r="C62" s="186"/>
      <c r="F62" s="219" t="s">
        <v>156</v>
      </c>
      <c r="G62" s="219"/>
      <c r="H62" s="27"/>
      <c r="I62" s="27"/>
      <c r="K62" t="s">
        <v>150</v>
      </c>
    </row>
    <row r="63" spans="2:9" ht="15" customHeight="1">
      <c r="B63" s="186"/>
      <c r="C63" s="186"/>
      <c r="F63" s="219"/>
      <c r="G63" s="219"/>
      <c r="H63" s="27"/>
      <c r="I63" s="27"/>
    </row>
    <row r="64" spans="1:9" s="19" customFormat="1" ht="15">
      <c r="A64"/>
      <c r="B64"/>
      <c r="C64" s="4"/>
      <c r="D64"/>
      <c r="E64"/>
      <c r="F64"/>
      <c r="G64"/>
      <c r="H64"/>
      <c r="I64"/>
    </row>
    <row r="65" ht="15">
      <c r="C65" s="152"/>
    </row>
    <row r="66" spans="1:9" s="19" customFormat="1" ht="15">
      <c r="A66"/>
      <c r="B66"/>
      <c r="D66"/>
      <c r="E66"/>
      <c r="F66"/>
      <c r="G66"/>
      <c r="H66"/>
      <c r="I66"/>
    </row>
    <row r="67" spans="1:9" s="19" customFormat="1" ht="15">
      <c r="A67"/>
      <c r="B67"/>
      <c r="C67" s="4"/>
      <c r="D67"/>
      <c r="E67"/>
      <c r="F67"/>
      <c r="G67"/>
      <c r="H67"/>
      <c r="I67"/>
    </row>
    <row r="68" ht="15">
      <c r="C68" s="4"/>
    </row>
    <row r="69" ht="15">
      <c r="C69" s="4"/>
    </row>
  </sheetData>
  <sheetProtection/>
  <mergeCells count="18">
    <mergeCell ref="B63:C63"/>
    <mergeCell ref="F63:G63"/>
    <mergeCell ref="B14:B16"/>
    <mergeCell ref="C14:C16"/>
    <mergeCell ref="G14:G16"/>
    <mergeCell ref="F61:G61"/>
    <mergeCell ref="B62:C62"/>
    <mergeCell ref="F62:G62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0" fitToWidth="0" horizontalDpi="360" verticalDpi="36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zoomScalePageLayoutView="0" workbookViewId="0" topLeftCell="A1">
      <pane ySplit="10" topLeftCell="A40" activePane="bottomLeft" state="frozen"/>
      <selection pane="topLeft" activeCell="C43" sqref="C43"/>
      <selection pane="bottomLeft" activeCell="C43" sqref="C43"/>
    </sheetView>
  </sheetViews>
  <sheetFormatPr defaultColWidth="9.140625" defaultRowHeight="15"/>
  <cols>
    <col min="1" max="1" width="64.00390625" style="0" customWidth="1"/>
    <col min="2" max="3" width="16.00390625" style="0" customWidth="1"/>
    <col min="4" max="6" width="9.71093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21.421875" style="0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177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12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117">
        <v>3276089043</v>
      </c>
      <c r="L11" s="150" t="s">
        <v>154</v>
      </c>
    </row>
    <row r="12" spans="1:12" s="97" customFormat="1" ht="15">
      <c r="A12" s="40" t="s">
        <v>68</v>
      </c>
      <c r="B12" s="8">
        <f>+K12*0.3</f>
        <v>49141335.6</v>
      </c>
      <c r="C12" s="8">
        <f>+K12*0.7</f>
        <v>114663116.39999999</v>
      </c>
      <c r="D12" s="8"/>
      <c r="E12" s="8"/>
      <c r="F12" s="8"/>
      <c r="G12" s="81">
        <f>+B12+C12</f>
        <v>163804452</v>
      </c>
      <c r="H12" s="82"/>
      <c r="I12" s="80"/>
      <c r="K12" s="19">
        <v>163804452</v>
      </c>
      <c r="L12" s="149">
        <v>0.05</v>
      </c>
    </row>
    <row r="13" spans="1:12" ht="15">
      <c r="A13" s="40" t="s">
        <v>146</v>
      </c>
      <c r="B13" s="8"/>
      <c r="C13" s="8">
        <v>68279468.5</v>
      </c>
      <c r="D13" s="8"/>
      <c r="E13" s="8"/>
      <c r="F13" s="8"/>
      <c r="G13" s="81">
        <f>+C13</f>
        <v>68279468.5</v>
      </c>
      <c r="H13" s="82"/>
      <c r="I13" s="80"/>
      <c r="K13" s="19">
        <f>+K12*0.7</f>
        <v>114663116.39999999</v>
      </c>
      <c r="L13">
        <v>70</v>
      </c>
    </row>
    <row r="14" spans="1:12" ht="15">
      <c r="A14" s="41" t="s">
        <v>17</v>
      </c>
      <c r="B14" s="189">
        <f>+K25</f>
        <v>228626295.82000002</v>
      </c>
      <c r="C14" s="189"/>
      <c r="D14" s="10"/>
      <c r="E14" s="83"/>
      <c r="F14" s="83"/>
      <c r="G14" s="192">
        <f>+B14</f>
        <v>228626295.82000002</v>
      </c>
      <c r="H14" s="82"/>
      <c r="I14" s="80"/>
      <c r="K14" s="19">
        <f>+K12*0.3</f>
        <v>49141335.6</v>
      </c>
      <c r="L14">
        <v>30</v>
      </c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149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21</v>
      </c>
      <c r="B17" s="84"/>
      <c r="C17" s="84"/>
      <c r="D17" s="84"/>
      <c r="E17" s="84"/>
      <c r="F17" s="84"/>
      <c r="G17" s="85"/>
      <c r="H17" s="82"/>
      <c r="I17" s="80"/>
    </row>
    <row r="18" spans="1:9" s="16" customFormat="1" ht="15" hidden="1">
      <c r="A18" s="40" t="s">
        <v>22</v>
      </c>
      <c r="B18" s="8"/>
      <c r="C18" s="8"/>
      <c r="D18" s="8"/>
      <c r="E18" s="8"/>
      <c r="F18" s="8"/>
      <c r="G18" s="81"/>
      <c r="H18" s="82"/>
      <c r="I18" s="80"/>
    </row>
    <row r="19" spans="1:11" ht="15">
      <c r="A19" s="39" t="s">
        <v>23</v>
      </c>
      <c r="B19" s="86">
        <f>SUM(B12:B18)</f>
        <v>277767631.42</v>
      </c>
      <c r="C19" s="86">
        <f>SUM(C12:C18)</f>
        <v>182942584.89999998</v>
      </c>
      <c r="D19" s="8"/>
      <c r="E19" s="8"/>
      <c r="F19" s="8"/>
      <c r="G19" s="81">
        <f>SUM(B19:F19)</f>
        <v>460710216.32</v>
      </c>
      <c r="H19" s="82"/>
      <c r="I19" s="80"/>
      <c r="J19">
        <v>2014</v>
      </c>
      <c r="K19" s="4">
        <v>25751090</v>
      </c>
    </row>
    <row r="20" spans="1:11" ht="15">
      <c r="A20" s="39" t="s">
        <v>24</v>
      </c>
      <c r="B20" s="8"/>
      <c r="C20" s="8"/>
      <c r="D20" s="8"/>
      <c r="E20" s="8"/>
      <c r="F20" s="8"/>
      <c r="G20" s="81"/>
      <c r="H20" s="82"/>
      <c r="I20" s="80"/>
      <c r="J20">
        <v>2015</v>
      </c>
      <c r="K20" s="4">
        <v>31603481.5</v>
      </c>
    </row>
    <row r="21" spans="1:11" ht="15">
      <c r="A21" s="40" t="s">
        <v>25</v>
      </c>
      <c r="B21" s="8"/>
      <c r="C21" s="8"/>
      <c r="D21" s="8"/>
      <c r="E21" s="8"/>
      <c r="F21" s="8"/>
      <c r="G21" s="81"/>
      <c r="H21" s="82"/>
      <c r="I21" s="80"/>
      <c r="J21">
        <v>2016</v>
      </c>
      <c r="K21" s="4">
        <v>60262141.58</v>
      </c>
    </row>
    <row r="22" spans="1:11" ht="15">
      <c r="A22" s="40" t="s">
        <v>26</v>
      </c>
      <c r="B22" s="8"/>
      <c r="C22" s="8"/>
      <c r="D22" s="8"/>
      <c r="E22" s="8"/>
      <c r="F22" s="8"/>
      <c r="G22" s="81"/>
      <c r="H22" s="82"/>
      <c r="I22" s="80"/>
      <c r="J22">
        <v>2017</v>
      </c>
      <c r="K22" s="4">
        <v>45433875.53</v>
      </c>
    </row>
    <row r="23" spans="1:11" ht="15">
      <c r="A23" s="40" t="s">
        <v>27</v>
      </c>
      <c r="B23" s="8"/>
      <c r="C23" s="8"/>
      <c r="D23" s="8"/>
      <c r="E23" s="8"/>
      <c r="F23" s="8"/>
      <c r="G23" s="81"/>
      <c r="H23" s="82"/>
      <c r="I23" s="80"/>
      <c r="J23">
        <v>2018</v>
      </c>
      <c r="K23" s="4">
        <v>65575707.21</v>
      </c>
    </row>
    <row r="24" spans="1:9" ht="15" hidden="1">
      <c r="A24" s="40" t="s">
        <v>28</v>
      </c>
      <c r="B24" s="8"/>
      <c r="C24" s="8"/>
      <c r="D24" s="8"/>
      <c r="E24" s="8"/>
      <c r="F24" s="8"/>
      <c r="G24" s="81"/>
      <c r="H24" s="82"/>
      <c r="I24" s="80"/>
    </row>
    <row r="25" spans="1:11" ht="15.75" thickBot="1">
      <c r="A25" s="40" t="s">
        <v>45</v>
      </c>
      <c r="B25" s="8"/>
      <c r="C25" s="8"/>
      <c r="D25" s="8"/>
      <c r="E25" s="8"/>
      <c r="F25" s="8"/>
      <c r="G25" s="81"/>
      <c r="H25" s="82"/>
      <c r="I25" s="80"/>
      <c r="K25" s="148">
        <f>SUM(K19:K24)</f>
        <v>228626295.82000002</v>
      </c>
    </row>
    <row r="26" spans="1:9" ht="15.75" thickTop="1">
      <c r="A26" s="40" t="s">
        <v>165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159</v>
      </c>
      <c r="B27" s="8"/>
      <c r="C27" s="8">
        <f>26216.32+12358.91+31703.57+16658.99+60000+100000</f>
        <v>246937.78999999998</v>
      </c>
      <c r="D27" s="8"/>
      <c r="E27" s="8"/>
      <c r="F27" s="8"/>
      <c r="G27" s="81"/>
      <c r="H27" s="82"/>
      <c r="I27" s="80"/>
    </row>
    <row r="28" spans="1:9" ht="15">
      <c r="A28" s="40" t="s">
        <v>171</v>
      </c>
      <c r="B28" s="8"/>
      <c r="C28" s="8">
        <f>199750+281062.5+71910+281062.5+199750</f>
        <v>1033535</v>
      </c>
      <c r="D28" s="8"/>
      <c r="E28" s="8"/>
      <c r="F28" s="8"/>
      <c r="G28" s="81"/>
      <c r="H28" s="82"/>
      <c r="I28" s="80"/>
    </row>
    <row r="29" spans="1:9" ht="15">
      <c r="A29" s="40" t="s">
        <v>176</v>
      </c>
      <c r="B29" s="8"/>
      <c r="C29" s="8">
        <f>185875+178900</f>
        <v>364775</v>
      </c>
      <c r="D29" s="8"/>
      <c r="E29" s="8"/>
      <c r="F29" s="8"/>
      <c r="G29" s="81"/>
      <c r="H29" s="82"/>
      <c r="I29" s="80"/>
    </row>
    <row r="30" spans="1:9" ht="15">
      <c r="A30" s="40" t="s">
        <v>166</v>
      </c>
      <c r="B30" s="8"/>
      <c r="C30" s="8">
        <f>11690+11690+10570+9740</f>
        <v>43690</v>
      </c>
      <c r="D30" s="8"/>
      <c r="E30" s="8"/>
      <c r="F30" s="8"/>
      <c r="G30" s="81"/>
      <c r="H30" s="82"/>
      <c r="I30" s="80"/>
    </row>
    <row r="31" spans="1:9" ht="15">
      <c r="A31" s="40" t="s">
        <v>81</v>
      </c>
      <c r="B31" s="8"/>
      <c r="C31" s="8">
        <f>4183.18+4183.18+7670.47+4258.33+1999+4208.67+8430.03+4183.18+4698.71</f>
        <v>43814.75</v>
      </c>
      <c r="D31" s="8"/>
      <c r="E31" s="8"/>
      <c r="F31" s="8"/>
      <c r="G31" s="81"/>
      <c r="H31" s="82"/>
      <c r="I31" s="80"/>
    </row>
    <row r="32" spans="1:9" ht="15">
      <c r="A32" s="40" t="s">
        <v>175</v>
      </c>
      <c r="B32" s="8"/>
      <c r="C32" s="8">
        <f>1001.29+5338.14</f>
        <v>6339.43</v>
      </c>
      <c r="D32" s="8"/>
      <c r="E32" s="8"/>
      <c r="F32" s="8"/>
      <c r="G32" s="81"/>
      <c r="H32" s="82"/>
      <c r="I32" s="80"/>
    </row>
    <row r="33" spans="1:9" ht="15">
      <c r="A33" s="40" t="s">
        <v>162</v>
      </c>
      <c r="B33" s="8"/>
      <c r="C33" s="8">
        <f>241880+176331+7700</f>
        <v>425911</v>
      </c>
      <c r="D33" s="8"/>
      <c r="E33" s="8"/>
      <c r="F33" s="8"/>
      <c r="G33" s="81"/>
      <c r="H33" s="82"/>
      <c r="I33" s="80"/>
    </row>
    <row r="34" spans="1:9" ht="15">
      <c r="A34" s="40" t="s">
        <v>164</v>
      </c>
      <c r="B34" s="8"/>
      <c r="C34" s="8">
        <f>167975+137445</f>
        <v>305420</v>
      </c>
      <c r="D34" s="8"/>
      <c r="E34" s="8"/>
      <c r="F34" s="8"/>
      <c r="G34" s="81"/>
      <c r="H34" s="82"/>
      <c r="I34" s="80"/>
    </row>
    <row r="35" spans="1:11" ht="15">
      <c r="A35" s="40" t="s">
        <v>173</v>
      </c>
      <c r="B35" s="8"/>
      <c r="C35" s="8">
        <v>189840</v>
      </c>
      <c r="D35" s="8"/>
      <c r="E35" s="8"/>
      <c r="F35" s="8"/>
      <c r="G35" s="81"/>
      <c r="H35" s="82"/>
      <c r="I35" s="80"/>
      <c r="K35" t="s">
        <v>155</v>
      </c>
    </row>
    <row r="36" spans="1:9" ht="15">
      <c r="A36" s="40" t="s">
        <v>90</v>
      </c>
      <c r="B36" s="8"/>
      <c r="C36" s="8">
        <v>98200</v>
      </c>
      <c r="D36" s="8"/>
      <c r="E36" s="8"/>
      <c r="F36" s="8"/>
      <c r="G36" s="81"/>
      <c r="H36" s="82"/>
      <c r="I36" s="80"/>
    </row>
    <row r="37" spans="1:9" ht="15">
      <c r="A37" s="40" t="s">
        <v>91</v>
      </c>
      <c r="B37" s="8"/>
      <c r="C37" s="8">
        <v>192000</v>
      </c>
      <c r="D37" s="8"/>
      <c r="E37" s="8"/>
      <c r="F37" s="8"/>
      <c r="G37" s="81"/>
      <c r="H37" s="82"/>
      <c r="I37" s="80"/>
    </row>
    <row r="38" spans="1:9" ht="15" customHeight="1">
      <c r="A38" s="40" t="s">
        <v>169</v>
      </c>
      <c r="B38" s="8"/>
      <c r="C38" s="8">
        <f>62368.29+52638.62</f>
        <v>115006.91</v>
      </c>
      <c r="D38" s="8"/>
      <c r="E38" s="8"/>
      <c r="F38" s="8"/>
      <c r="G38" s="81"/>
      <c r="H38" s="82"/>
      <c r="I38" s="80"/>
    </row>
    <row r="39" spans="1:9" ht="15" customHeight="1">
      <c r="A39" s="41" t="s">
        <v>170</v>
      </c>
      <c r="B39" s="8"/>
      <c r="C39" s="8">
        <v>2679.36</v>
      </c>
      <c r="D39" s="8"/>
      <c r="E39" s="8"/>
      <c r="F39" s="8"/>
      <c r="G39" s="81"/>
      <c r="H39" s="82"/>
      <c r="I39" s="80"/>
    </row>
    <row r="40" spans="1:9" ht="15" customHeight="1">
      <c r="A40" s="40" t="s">
        <v>92</v>
      </c>
      <c r="B40" s="8"/>
      <c r="C40" s="8">
        <v>212500</v>
      </c>
      <c r="D40" s="8"/>
      <c r="E40" s="8"/>
      <c r="F40" s="8"/>
      <c r="G40" s="81"/>
      <c r="H40" s="82"/>
      <c r="I40" s="80"/>
    </row>
    <row r="41" spans="1:9" ht="15" customHeight="1">
      <c r="A41" s="40" t="s">
        <v>180</v>
      </c>
      <c r="B41" s="8"/>
      <c r="C41" s="8">
        <v>19480</v>
      </c>
      <c r="D41" s="8"/>
      <c r="E41" s="8"/>
      <c r="F41" s="8"/>
      <c r="G41" s="81"/>
      <c r="H41" s="82"/>
      <c r="I41" s="80"/>
    </row>
    <row r="42" spans="1:9" ht="15">
      <c r="A42" s="42" t="s">
        <v>31</v>
      </c>
      <c r="B42" s="8"/>
      <c r="C42" s="8"/>
      <c r="D42" s="8"/>
      <c r="E42" s="8"/>
      <c r="F42" s="8"/>
      <c r="G42" s="81"/>
      <c r="H42" s="82"/>
      <c r="I42" s="80"/>
    </row>
    <row r="43" spans="1:9" ht="15">
      <c r="A43" s="40" t="s">
        <v>179</v>
      </c>
      <c r="B43" s="8"/>
      <c r="C43" s="8">
        <v>975000</v>
      </c>
      <c r="D43" s="8"/>
      <c r="E43" s="8"/>
      <c r="F43" s="8"/>
      <c r="G43" s="81"/>
      <c r="H43" s="82"/>
      <c r="I43" s="80"/>
    </row>
    <row r="44" spans="1:9" ht="15">
      <c r="A44" s="40" t="s">
        <v>32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40" t="s">
        <v>167</v>
      </c>
      <c r="B45" s="8"/>
      <c r="C45" s="8">
        <v>9936000</v>
      </c>
      <c r="D45" s="8"/>
      <c r="E45" s="8"/>
      <c r="F45" s="8"/>
      <c r="G45" s="81"/>
      <c r="H45" s="82"/>
      <c r="I45" s="80"/>
    </row>
    <row r="46" spans="1:9" ht="15">
      <c r="A46" s="40" t="s">
        <v>172</v>
      </c>
      <c r="B46" s="8"/>
      <c r="C46" s="8">
        <v>4497000</v>
      </c>
      <c r="D46" s="8"/>
      <c r="E46" s="8"/>
      <c r="F46" s="8"/>
      <c r="G46" s="81"/>
      <c r="H46" s="82"/>
      <c r="I46" s="80"/>
    </row>
    <row r="47" spans="1:9" ht="15">
      <c r="A47" s="40" t="s">
        <v>178</v>
      </c>
      <c r="B47" s="8"/>
      <c r="C47" s="8">
        <v>3149000</v>
      </c>
      <c r="D47" s="8"/>
      <c r="E47" s="8"/>
      <c r="F47" s="8"/>
      <c r="G47" s="81"/>
      <c r="H47" s="82"/>
      <c r="I47" s="80"/>
    </row>
    <row r="48" spans="1:9" ht="15">
      <c r="A48" s="40" t="s">
        <v>33</v>
      </c>
      <c r="B48" s="8"/>
      <c r="C48" s="8"/>
      <c r="D48" s="8"/>
      <c r="E48" s="8"/>
      <c r="F48" s="8"/>
      <c r="G48" s="81"/>
      <c r="H48" s="82"/>
      <c r="I48" s="80"/>
    </row>
    <row r="49" spans="1:9" ht="15">
      <c r="A49" s="40" t="s">
        <v>34</v>
      </c>
      <c r="B49" s="8"/>
      <c r="C49" s="8"/>
      <c r="D49" s="8"/>
      <c r="E49" s="8"/>
      <c r="F49" s="8"/>
      <c r="G49" s="81"/>
      <c r="H49" s="82"/>
      <c r="I49" s="80"/>
    </row>
    <row r="50" spans="1:9" ht="15">
      <c r="A50" s="39" t="s">
        <v>35</v>
      </c>
      <c r="B50" s="86">
        <f>+SUM(B20:B49)</f>
        <v>0</v>
      </c>
      <c r="C50" s="86">
        <f>+SUM(C20:C49)</f>
        <v>21857129.240000002</v>
      </c>
      <c r="D50" s="8"/>
      <c r="E50" s="8"/>
      <c r="F50" s="8"/>
      <c r="G50" s="89"/>
      <c r="H50" s="82"/>
      <c r="I50" s="80"/>
    </row>
    <row r="51" spans="1:9" ht="15.75" thickBot="1">
      <c r="A51" s="44" t="s">
        <v>36</v>
      </c>
      <c r="B51" s="90">
        <f>+B19-B50</f>
        <v>277767631.42</v>
      </c>
      <c r="C51" s="90">
        <f>+C19-C50</f>
        <v>161085455.65999997</v>
      </c>
      <c r="D51" s="91"/>
      <c r="E51" s="91"/>
      <c r="F51" s="91"/>
      <c r="G51" s="92">
        <f>+G19</f>
        <v>460710216.32</v>
      </c>
      <c r="H51" s="82"/>
      <c r="I51" s="80"/>
    </row>
    <row r="52" spans="1:9" ht="15">
      <c r="A52" s="20"/>
      <c r="B52" s="21"/>
      <c r="C52" s="21"/>
      <c r="D52" s="7"/>
      <c r="E52" s="7"/>
      <c r="F52" s="7"/>
      <c r="G52" s="21"/>
      <c r="H52" s="7"/>
      <c r="I52" s="22"/>
    </row>
    <row r="53" spans="1:9" ht="15">
      <c r="A53" s="24" t="s">
        <v>151</v>
      </c>
      <c r="B53" s="21"/>
      <c r="C53" s="21"/>
      <c r="D53" s="7"/>
      <c r="E53" s="7"/>
      <c r="F53" s="7"/>
      <c r="G53" s="21"/>
      <c r="H53" s="7"/>
      <c r="I53" s="22"/>
    </row>
    <row r="54" spans="1:7" ht="15">
      <c r="A54" s="24"/>
      <c r="D54" s="24"/>
      <c r="E54" s="24"/>
      <c r="F54" s="24"/>
      <c r="G54" s="24"/>
    </row>
    <row r="55" spans="4:7" ht="15">
      <c r="D55" s="24"/>
      <c r="E55" s="24"/>
      <c r="F55" s="24"/>
      <c r="G55" s="24"/>
    </row>
    <row r="56" spans="1:7" ht="15">
      <c r="A56" s="23" t="s">
        <v>147</v>
      </c>
      <c r="C56" s="24"/>
      <c r="D56" s="24"/>
      <c r="E56" s="24"/>
      <c r="F56" s="24"/>
      <c r="G56" s="24"/>
    </row>
    <row r="57" spans="1:7" ht="15">
      <c r="A57" s="23" t="s">
        <v>148</v>
      </c>
      <c r="C57" s="24"/>
      <c r="D57" s="24"/>
      <c r="E57" s="24"/>
      <c r="F57" s="24"/>
      <c r="G57" s="24"/>
    </row>
    <row r="58" spans="3:7" ht="15">
      <c r="C58" s="24"/>
      <c r="D58" s="24"/>
      <c r="E58" s="24"/>
      <c r="F58" s="24"/>
      <c r="G58" s="24"/>
    </row>
    <row r="59" ht="14.25" customHeight="1"/>
    <row r="60" ht="14.25" customHeight="1"/>
    <row r="61" ht="14.25" customHeight="1"/>
    <row r="62" ht="14.25" customHeight="1"/>
    <row r="63" ht="14.25" customHeight="1"/>
    <row r="64" spans="2:11" ht="15" customHeight="1">
      <c r="B64" s="22"/>
      <c r="C64" s="22"/>
      <c r="F64" s="220" t="s">
        <v>70</v>
      </c>
      <c r="G64" s="221"/>
      <c r="H64" s="26"/>
      <c r="I64" s="26"/>
      <c r="K64" t="s">
        <v>41</v>
      </c>
    </row>
    <row r="65" spans="2:11" ht="15" customHeight="1">
      <c r="B65" s="186"/>
      <c r="C65" s="186"/>
      <c r="F65" s="219" t="s">
        <v>156</v>
      </c>
      <c r="G65" s="219"/>
      <c r="H65" s="27"/>
      <c r="I65" s="27"/>
      <c r="K65" t="s">
        <v>150</v>
      </c>
    </row>
    <row r="66" spans="2:9" ht="15" customHeight="1">
      <c r="B66" s="186"/>
      <c r="C66" s="186"/>
      <c r="F66" s="219"/>
      <c r="G66" s="219"/>
      <c r="H66" s="27"/>
      <c r="I66" s="27"/>
    </row>
    <row r="67" spans="1:9" s="19" customFormat="1" ht="15">
      <c r="A67"/>
      <c r="B67"/>
      <c r="C67" s="4"/>
      <c r="D67"/>
      <c r="E67"/>
      <c r="F67"/>
      <c r="G67"/>
      <c r="H67"/>
      <c r="I67"/>
    </row>
    <row r="68" ht="15">
      <c r="C68" s="152"/>
    </row>
    <row r="69" spans="1:9" s="19" customFormat="1" ht="15">
      <c r="A69"/>
      <c r="B69"/>
      <c r="D69"/>
      <c r="E69"/>
      <c r="F69"/>
      <c r="G69"/>
      <c r="H69"/>
      <c r="I69"/>
    </row>
    <row r="70" spans="1:9" s="19" customFormat="1" ht="15">
      <c r="A70"/>
      <c r="B70" s="153">
        <v>975000</v>
      </c>
      <c r="C70" s="4">
        <v>7700</v>
      </c>
      <c r="D70"/>
      <c r="E70"/>
      <c r="F70"/>
      <c r="G70"/>
      <c r="H70"/>
      <c r="I70"/>
    </row>
    <row r="71" spans="2:3" ht="15">
      <c r="B71" s="153">
        <v>4183.18</v>
      </c>
      <c r="C71" s="4">
        <v>3688718.65</v>
      </c>
    </row>
    <row r="72" spans="2:3" ht="15">
      <c r="B72" s="153">
        <v>5338.14</v>
      </c>
      <c r="C72" s="4">
        <f>+C50-C70-C71</f>
        <v>18160710.590000004</v>
      </c>
    </row>
    <row r="73" ht="15">
      <c r="B73" s="154">
        <v>4698.71</v>
      </c>
    </row>
    <row r="74" ht="15">
      <c r="B74" s="154">
        <v>19480</v>
      </c>
    </row>
    <row r="75" ht="15">
      <c r="B75" s="154">
        <v>2679.36</v>
      </c>
    </row>
  </sheetData>
  <sheetProtection/>
  <mergeCells count="18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B66:C66"/>
    <mergeCell ref="F66:G66"/>
    <mergeCell ref="B14:B16"/>
    <mergeCell ref="C14:C16"/>
    <mergeCell ref="G14:G16"/>
    <mergeCell ref="F64:G64"/>
    <mergeCell ref="B65:C65"/>
    <mergeCell ref="F65:G65"/>
  </mergeCells>
  <printOptions horizontalCentered="1"/>
  <pageMargins left="0.25" right="0.25" top="0.75" bottom="0.75" header="0.3" footer="0.3"/>
  <pageSetup fitToHeight="0" fitToWidth="0" horizontalDpi="360" verticalDpi="360" orientation="portrait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73"/>
  <sheetViews>
    <sheetView zoomScale="90" zoomScaleNormal="90" zoomScalePageLayoutView="0" workbookViewId="0" topLeftCell="A1">
      <pane ySplit="10" topLeftCell="A41" activePane="bottomLeft" state="frozen"/>
      <selection pane="topLeft" activeCell="C43" sqref="C43"/>
      <selection pane="bottomLeft" activeCell="C43" sqref="C43"/>
    </sheetView>
  </sheetViews>
  <sheetFormatPr defaultColWidth="9.140625" defaultRowHeight="15"/>
  <cols>
    <col min="1" max="1" width="64.00390625" style="0" customWidth="1"/>
    <col min="2" max="3" width="16.00390625" style="0" customWidth="1"/>
    <col min="4" max="6" width="9.71093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21.421875" style="0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184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12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117">
        <v>3276089043</v>
      </c>
      <c r="L11" s="150" t="s">
        <v>154</v>
      </c>
    </row>
    <row r="12" spans="1:12" s="97" customFormat="1" ht="15">
      <c r="A12" s="40" t="s">
        <v>68</v>
      </c>
      <c r="B12" s="8">
        <f>+K12*0.3</f>
        <v>49141335.6</v>
      </c>
      <c r="C12" s="8">
        <f>+K12*0.7</f>
        <v>114663116.39999999</v>
      </c>
      <c r="D12" s="8"/>
      <c r="E12" s="8"/>
      <c r="F12" s="8"/>
      <c r="G12" s="81">
        <f>+B12+C12</f>
        <v>163804452</v>
      </c>
      <c r="H12" s="82"/>
      <c r="I12" s="80"/>
      <c r="K12" s="19">
        <v>163804452</v>
      </c>
      <c r="L12" s="149">
        <v>0.05</v>
      </c>
    </row>
    <row r="13" spans="1:12" ht="15">
      <c r="A13" s="40" t="s">
        <v>146</v>
      </c>
      <c r="B13" s="8"/>
      <c r="C13" s="8">
        <v>68279468.5</v>
      </c>
      <c r="D13" s="8"/>
      <c r="E13" s="8"/>
      <c r="F13" s="8"/>
      <c r="G13" s="81">
        <f>+C13</f>
        <v>68279468.5</v>
      </c>
      <c r="H13" s="82"/>
      <c r="I13" s="80"/>
      <c r="K13" s="19">
        <f>+K12*0.7</f>
        <v>114663116.39999999</v>
      </c>
      <c r="L13">
        <v>70</v>
      </c>
    </row>
    <row r="14" spans="1:12" ht="15">
      <c r="A14" s="41" t="s">
        <v>17</v>
      </c>
      <c r="B14" s="189">
        <f>+K25</f>
        <v>228626295.82000002</v>
      </c>
      <c r="C14" s="189"/>
      <c r="D14" s="10"/>
      <c r="E14" s="83"/>
      <c r="F14" s="83"/>
      <c r="G14" s="192">
        <f>+B14</f>
        <v>228626295.82000002</v>
      </c>
      <c r="H14" s="82"/>
      <c r="I14" s="80"/>
      <c r="K14" s="19">
        <f>+K12*0.3</f>
        <v>49141335.6</v>
      </c>
      <c r="L14">
        <v>30</v>
      </c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149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21</v>
      </c>
      <c r="B17" s="84"/>
      <c r="C17" s="84"/>
      <c r="D17" s="84"/>
      <c r="E17" s="84"/>
      <c r="F17" s="84"/>
      <c r="G17" s="85"/>
      <c r="H17" s="82"/>
      <c r="I17" s="80"/>
    </row>
    <row r="18" spans="1:9" s="16" customFormat="1" ht="15" hidden="1">
      <c r="A18" s="40" t="s">
        <v>22</v>
      </c>
      <c r="B18" s="8"/>
      <c r="C18" s="8"/>
      <c r="D18" s="8"/>
      <c r="E18" s="8"/>
      <c r="F18" s="8"/>
      <c r="G18" s="81"/>
      <c r="H18" s="82"/>
      <c r="I18" s="80"/>
    </row>
    <row r="19" spans="1:11" ht="15">
      <c r="A19" s="39" t="s">
        <v>23</v>
      </c>
      <c r="B19" s="86">
        <f>SUM(B12:B18)</f>
        <v>277767631.42</v>
      </c>
      <c r="C19" s="86">
        <f>SUM(C12:C18)</f>
        <v>182942584.89999998</v>
      </c>
      <c r="D19" s="8"/>
      <c r="E19" s="8"/>
      <c r="F19" s="8"/>
      <c r="G19" s="81">
        <f>SUM(B19:F19)</f>
        <v>460710216.32</v>
      </c>
      <c r="H19" s="82"/>
      <c r="I19" s="80"/>
      <c r="J19">
        <v>2014</v>
      </c>
      <c r="K19" s="4">
        <v>25751090</v>
      </c>
    </row>
    <row r="20" spans="1:11" ht="15">
      <c r="A20" s="39" t="s">
        <v>24</v>
      </c>
      <c r="B20" s="8"/>
      <c r="C20" s="8"/>
      <c r="D20" s="8"/>
      <c r="E20" s="8"/>
      <c r="F20" s="8"/>
      <c r="G20" s="81"/>
      <c r="H20" s="82"/>
      <c r="I20" s="80"/>
      <c r="J20">
        <v>2015</v>
      </c>
      <c r="K20" s="4">
        <v>31603481.5</v>
      </c>
    </row>
    <row r="21" spans="1:11" ht="15">
      <c r="A21" s="40" t="s">
        <v>25</v>
      </c>
      <c r="B21" s="8"/>
      <c r="C21" s="8"/>
      <c r="D21" s="8"/>
      <c r="E21" s="8"/>
      <c r="F21" s="8"/>
      <c r="G21" s="81"/>
      <c r="H21" s="82"/>
      <c r="I21" s="80"/>
      <c r="J21">
        <v>2016</v>
      </c>
      <c r="K21" s="4">
        <v>60262141.58</v>
      </c>
    </row>
    <row r="22" spans="1:11" ht="15">
      <c r="A22" s="40" t="s">
        <v>26</v>
      </c>
      <c r="B22" s="8"/>
      <c r="C22" s="8"/>
      <c r="D22" s="8"/>
      <c r="E22" s="8"/>
      <c r="F22" s="8"/>
      <c r="G22" s="81"/>
      <c r="H22" s="82"/>
      <c r="I22" s="80"/>
      <c r="J22">
        <v>2017</v>
      </c>
      <c r="K22" s="4">
        <v>45433875.53</v>
      </c>
    </row>
    <row r="23" spans="1:11" ht="15">
      <c r="A23" s="40" t="s">
        <v>27</v>
      </c>
      <c r="B23" s="8"/>
      <c r="C23" s="8"/>
      <c r="D23" s="8"/>
      <c r="E23" s="8"/>
      <c r="F23" s="8"/>
      <c r="G23" s="81"/>
      <c r="H23" s="82"/>
      <c r="I23" s="80"/>
      <c r="J23">
        <v>2018</v>
      </c>
      <c r="K23" s="4">
        <v>65575707.21</v>
      </c>
    </row>
    <row r="24" spans="1:9" ht="15" hidden="1">
      <c r="A24" s="40" t="s">
        <v>28</v>
      </c>
      <c r="B24" s="8"/>
      <c r="C24" s="8"/>
      <c r="D24" s="8"/>
      <c r="E24" s="8"/>
      <c r="F24" s="8"/>
      <c r="G24" s="81"/>
      <c r="H24" s="82"/>
      <c r="I24" s="80"/>
    </row>
    <row r="25" spans="1:11" ht="15.75" thickBot="1">
      <c r="A25" s="40" t="s">
        <v>45</v>
      </c>
      <c r="B25" s="8"/>
      <c r="C25" s="8"/>
      <c r="D25" s="8"/>
      <c r="E25" s="8"/>
      <c r="F25" s="8"/>
      <c r="G25" s="81"/>
      <c r="H25" s="82"/>
      <c r="I25" s="80"/>
      <c r="K25" s="148">
        <f>SUM(K19:K24)</f>
        <v>228626295.82000002</v>
      </c>
    </row>
    <row r="26" spans="1:9" ht="15.75" thickTop="1">
      <c r="A26" s="40" t="s">
        <v>165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159</v>
      </c>
      <c r="B27" s="8"/>
      <c r="C27" s="8">
        <f>26216.32+12358.91+31703.57+16658.99+60000+100000+14000</f>
        <v>260937.78999999998</v>
      </c>
      <c r="D27" s="8"/>
      <c r="E27" s="8"/>
      <c r="F27" s="8"/>
      <c r="G27" s="81"/>
      <c r="H27" s="82"/>
      <c r="I27" s="80"/>
    </row>
    <row r="28" spans="1:9" ht="15">
      <c r="A28" s="40" t="s">
        <v>171</v>
      </c>
      <c r="B28" s="8"/>
      <c r="C28" s="8">
        <f>199750+281062.5+71910+281062.5+199750+870360</f>
        <v>1903895</v>
      </c>
      <c r="D28" s="8"/>
      <c r="E28" s="8"/>
      <c r="F28" s="8"/>
      <c r="G28" s="81"/>
      <c r="H28" s="82"/>
      <c r="I28" s="80"/>
    </row>
    <row r="29" spans="1:9" ht="15">
      <c r="A29" s="40" t="s">
        <v>176</v>
      </c>
      <c r="B29" s="8"/>
      <c r="C29" s="8">
        <f>185875+178900+195850</f>
        <v>560625</v>
      </c>
      <c r="D29" s="8"/>
      <c r="E29" s="8"/>
      <c r="F29" s="8"/>
      <c r="G29" s="81"/>
      <c r="H29" s="82"/>
      <c r="I29" s="80"/>
    </row>
    <row r="30" spans="1:9" ht="15">
      <c r="A30" s="40" t="s">
        <v>166</v>
      </c>
      <c r="B30" s="8"/>
      <c r="C30" s="8">
        <f>11690+11690+10570+9740+19595</f>
        <v>63285</v>
      </c>
      <c r="D30" s="8"/>
      <c r="E30" s="8"/>
      <c r="F30" s="8"/>
      <c r="G30" s="81"/>
      <c r="H30" s="82"/>
      <c r="I30" s="80"/>
    </row>
    <row r="31" spans="1:9" ht="15">
      <c r="A31" s="40" t="s">
        <v>81</v>
      </c>
      <c r="B31" s="8"/>
      <c r="C31" s="8">
        <f>4183.18+4183.18+7670.47+4258.33+1999+4208.67+8430.03+4183.18+4698.71</f>
        <v>43814.75</v>
      </c>
      <c r="D31" s="8"/>
      <c r="E31" s="8"/>
      <c r="F31" s="8"/>
      <c r="G31" s="81"/>
      <c r="H31" s="82"/>
      <c r="I31" s="80"/>
    </row>
    <row r="32" spans="1:9" ht="15">
      <c r="A32" s="40" t="s">
        <v>175</v>
      </c>
      <c r="B32" s="8"/>
      <c r="C32" s="8">
        <f>1001.29+5338.14+757.8</f>
        <v>7097.2300000000005</v>
      </c>
      <c r="D32" s="8"/>
      <c r="E32" s="8"/>
      <c r="F32" s="8"/>
      <c r="G32" s="81"/>
      <c r="H32" s="82"/>
      <c r="I32" s="80"/>
    </row>
    <row r="33" spans="1:9" ht="15">
      <c r="A33" s="40" t="s">
        <v>162</v>
      </c>
      <c r="B33" s="8"/>
      <c r="C33" s="8">
        <f>241880+176331+7700</f>
        <v>425911</v>
      </c>
      <c r="D33" s="8"/>
      <c r="E33" s="8"/>
      <c r="F33" s="8"/>
      <c r="G33" s="81"/>
      <c r="H33" s="82"/>
      <c r="I33" s="80"/>
    </row>
    <row r="34" spans="1:9" ht="15">
      <c r="A34" s="40" t="s">
        <v>164</v>
      </c>
      <c r="B34" s="8"/>
      <c r="C34" s="8">
        <f>167975+137445</f>
        <v>305420</v>
      </c>
      <c r="D34" s="8"/>
      <c r="E34" s="8"/>
      <c r="F34" s="8"/>
      <c r="G34" s="81"/>
      <c r="H34" s="82"/>
      <c r="I34" s="80"/>
    </row>
    <row r="35" spans="1:11" ht="15">
      <c r="A35" s="40" t="s">
        <v>173</v>
      </c>
      <c r="B35" s="8"/>
      <c r="C35" s="8">
        <v>189840</v>
      </c>
      <c r="D35" s="8"/>
      <c r="E35" s="8"/>
      <c r="F35" s="8"/>
      <c r="G35" s="81"/>
      <c r="H35" s="82"/>
      <c r="I35" s="80"/>
      <c r="K35" t="s">
        <v>155</v>
      </c>
    </row>
    <row r="36" spans="1:9" ht="15">
      <c r="A36" s="40" t="s">
        <v>90</v>
      </c>
      <c r="B36" s="8"/>
      <c r="C36" s="8">
        <v>98200</v>
      </c>
      <c r="D36" s="8"/>
      <c r="E36" s="8"/>
      <c r="F36" s="8"/>
      <c r="G36" s="81"/>
      <c r="H36" s="82"/>
      <c r="I36" s="80"/>
    </row>
    <row r="37" spans="1:9" ht="15">
      <c r="A37" s="40" t="s">
        <v>91</v>
      </c>
      <c r="B37" s="8"/>
      <c r="C37" s="8">
        <v>192000</v>
      </c>
      <c r="D37" s="8"/>
      <c r="E37" s="8"/>
      <c r="F37" s="8"/>
      <c r="G37" s="81"/>
      <c r="H37" s="82"/>
      <c r="I37" s="80"/>
    </row>
    <row r="38" spans="1:9" ht="15" customHeight="1">
      <c r="A38" s="40" t="s">
        <v>169</v>
      </c>
      <c r="B38" s="8"/>
      <c r="C38" s="8">
        <f>62368.29+52638.62+133078.32</f>
        <v>248085.23</v>
      </c>
      <c r="D38" s="8"/>
      <c r="E38" s="8"/>
      <c r="F38" s="8"/>
      <c r="G38" s="81"/>
      <c r="H38" s="82"/>
      <c r="I38" s="80"/>
    </row>
    <row r="39" spans="1:9" ht="15" customHeight="1">
      <c r="A39" s="40" t="s">
        <v>170</v>
      </c>
      <c r="B39" s="8"/>
      <c r="C39" s="8">
        <f>2679.36+4134.9</f>
        <v>6814.26</v>
      </c>
      <c r="D39" s="8"/>
      <c r="E39" s="8"/>
      <c r="F39" s="8"/>
      <c r="G39" s="81"/>
      <c r="H39" s="82"/>
      <c r="I39" s="80"/>
    </row>
    <row r="40" spans="1:9" ht="15" customHeight="1">
      <c r="A40" s="40" t="s">
        <v>182</v>
      </c>
      <c r="B40" s="8"/>
      <c r="C40" s="8">
        <v>42699.37</v>
      </c>
      <c r="D40" s="8"/>
      <c r="E40" s="8"/>
      <c r="F40" s="8"/>
      <c r="G40" s="81"/>
      <c r="H40" s="82"/>
      <c r="I40" s="80"/>
    </row>
    <row r="41" spans="1:9" ht="15" customHeight="1">
      <c r="A41" s="40" t="s">
        <v>92</v>
      </c>
      <c r="B41" s="8"/>
      <c r="C41" s="8">
        <f>212500+101180</f>
        <v>313680</v>
      </c>
      <c r="D41" s="8"/>
      <c r="E41" s="8"/>
      <c r="F41" s="8"/>
      <c r="G41" s="81"/>
      <c r="H41" s="82"/>
      <c r="I41" s="80"/>
    </row>
    <row r="42" spans="1:9" ht="15" customHeight="1">
      <c r="A42" s="40" t="s">
        <v>180</v>
      </c>
      <c r="B42" s="8"/>
      <c r="C42" s="8">
        <v>19480</v>
      </c>
      <c r="D42" s="8"/>
      <c r="E42" s="8"/>
      <c r="F42" s="8"/>
      <c r="G42" s="81"/>
      <c r="H42" s="82"/>
      <c r="I42" s="80"/>
    </row>
    <row r="43" spans="1:9" ht="15">
      <c r="A43" s="42" t="s">
        <v>31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40" t="s">
        <v>179</v>
      </c>
      <c r="B44" s="8"/>
      <c r="C44" s="8">
        <v>975000</v>
      </c>
      <c r="D44" s="8"/>
      <c r="E44" s="8"/>
      <c r="F44" s="8"/>
      <c r="G44" s="81"/>
      <c r="H44" s="82"/>
      <c r="I44" s="80"/>
    </row>
    <row r="45" spans="1:9" ht="15">
      <c r="A45" s="40" t="s">
        <v>32</v>
      </c>
      <c r="B45" s="8"/>
      <c r="C45" s="8"/>
      <c r="D45" s="8"/>
      <c r="E45" s="8"/>
      <c r="F45" s="8"/>
      <c r="G45" s="81"/>
      <c r="H45" s="82"/>
      <c r="I45" s="80"/>
    </row>
    <row r="46" spans="1:9" ht="15">
      <c r="A46" s="40" t="s">
        <v>167</v>
      </c>
      <c r="B46" s="8"/>
      <c r="C46" s="8">
        <v>9936000</v>
      </c>
      <c r="D46" s="8"/>
      <c r="E46" s="8"/>
      <c r="F46" s="8"/>
      <c r="G46" s="81"/>
      <c r="H46" s="82"/>
      <c r="I46" s="80"/>
    </row>
    <row r="47" spans="1:9" ht="15">
      <c r="A47" s="40" t="s">
        <v>172</v>
      </c>
      <c r="B47" s="8"/>
      <c r="C47" s="8">
        <v>4497000</v>
      </c>
      <c r="D47" s="8"/>
      <c r="E47" s="8"/>
      <c r="F47" s="8"/>
      <c r="G47" s="81"/>
      <c r="H47" s="82"/>
      <c r="I47" s="80"/>
    </row>
    <row r="48" spans="1:9" ht="15">
      <c r="A48" s="40" t="s">
        <v>178</v>
      </c>
      <c r="B48" s="8"/>
      <c r="C48" s="8">
        <v>3149000</v>
      </c>
      <c r="D48" s="8"/>
      <c r="E48" s="8"/>
      <c r="F48" s="8"/>
      <c r="G48" s="81"/>
      <c r="H48" s="82"/>
      <c r="I48" s="80"/>
    </row>
    <row r="49" spans="1:9" ht="15">
      <c r="A49" s="40" t="s">
        <v>181</v>
      </c>
      <c r="B49" s="8"/>
      <c r="C49" s="8">
        <v>36350</v>
      </c>
      <c r="D49" s="8"/>
      <c r="E49" s="8"/>
      <c r="F49" s="8"/>
      <c r="G49" s="81"/>
      <c r="H49" s="82"/>
      <c r="I49" s="80"/>
    </row>
    <row r="50" spans="1:9" ht="15">
      <c r="A50" s="40" t="s">
        <v>183</v>
      </c>
      <c r="B50" s="8"/>
      <c r="C50" s="8">
        <v>117500</v>
      </c>
      <c r="D50" s="8"/>
      <c r="E50" s="8"/>
      <c r="F50" s="8"/>
      <c r="G50" s="81"/>
      <c r="H50" s="82"/>
      <c r="I50" s="80"/>
    </row>
    <row r="51" spans="1:9" ht="15">
      <c r="A51" s="40" t="s">
        <v>33</v>
      </c>
      <c r="B51" s="8"/>
      <c r="C51" s="8"/>
      <c r="D51" s="8"/>
      <c r="E51" s="8"/>
      <c r="F51" s="8"/>
      <c r="G51" s="81"/>
      <c r="H51" s="82"/>
      <c r="I51" s="80"/>
    </row>
    <row r="52" spans="1:9" ht="15">
      <c r="A52" s="40" t="s">
        <v>34</v>
      </c>
      <c r="B52" s="8"/>
      <c r="C52" s="8"/>
      <c r="D52" s="8"/>
      <c r="E52" s="8"/>
      <c r="F52" s="8"/>
      <c r="G52" s="81"/>
      <c r="H52" s="82"/>
      <c r="I52" s="80"/>
    </row>
    <row r="53" spans="1:9" ht="15">
      <c r="A53" s="39" t="s">
        <v>35</v>
      </c>
      <c r="B53" s="86">
        <f>+SUM(B20:B52)</f>
        <v>0</v>
      </c>
      <c r="C53" s="86">
        <f>+SUM(C20:C52)</f>
        <v>23392634.63</v>
      </c>
      <c r="D53" s="8"/>
      <c r="E53" s="8"/>
      <c r="F53" s="8"/>
      <c r="G53" s="89"/>
      <c r="H53" s="82"/>
      <c r="I53" s="80"/>
    </row>
    <row r="54" spans="1:9" ht="15.75" thickBot="1">
      <c r="A54" s="44" t="s">
        <v>36</v>
      </c>
      <c r="B54" s="90">
        <f>+B19-B53</f>
        <v>277767631.42</v>
      </c>
      <c r="C54" s="90">
        <f>+C19-C53</f>
        <v>159549950.26999998</v>
      </c>
      <c r="D54" s="91"/>
      <c r="E54" s="91"/>
      <c r="F54" s="91"/>
      <c r="G54" s="92">
        <f>+G19</f>
        <v>460710216.32</v>
      </c>
      <c r="H54" s="82"/>
      <c r="I54" s="80"/>
    </row>
    <row r="55" spans="1:9" ht="15">
      <c r="A55" s="20"/>
      <c r="B55" s="21"/>
      <c r="C55" s="21"/>
      <c r="D55" s="7"/>
      <c r="E55" s="7"/>
      <c r="F55" s="7"/>
      <c r="G55" s="21"/>
      <c r="H55" s="7"/>
      <c r="I55" s="22"/>
    </row>
    <row r="56" spans="1:9" ht="15">
      <c r="A56" s="24" t="s">
        <v>151</v>
      </c>
      <c r="B56" s="21"/>
      <c r="C56" s="21"/>
      <c r="D56" s="7"/>
      <c r="E56" s="7"/>
      <c r="F56" s="7"/>
      <c r="G56" s="21"/>
      <c r="H56" s="7"/>
      <c r="I56" s="22"/>
    </row>
    <row r="57" spans="1:7" ht="15">
      <c r="A57" s="24"/>
      <c r="D57" s="24"/>
      <c r="E57" s="24"/>
      <c r="F57" s="24"/>
      <c r="G57" s="24"/>
    </row>
    <row r="58" spans="4:7" ht="15">
      <c r="D58" s="24"/>
      <c r="E58" s="24"/>
      <c r="F58" s="24"/>
      <c r="G58" s="24"/>
    </row>
    <row r="59" spans="1:7" ht="15">
      <c r="A59" s="23" t="s">
        <v>147</v>
      </c>
      <c r="C59" s="24"/>
      <c r="D59" s="24"/>
      <c r="E59" s="24"/>
      <c r="F59" s="24"/>
      <c r="G59" s="24"/>
    </row>
    <row r="60" spans="1:7" ht="15">
      <c r="A60" s="23" t="s">
        <v>148</v>
      </c>
      <c r="C60" s="24"/>
      <c r="D60" s="24"/>
      <c r="E60" s="24"/>
      <c r="F60" s="24"/>
      <c r="G60" s="24"/>
    </row>
    <row r="61" spans="3:7" ht="15">
      <c r="C61" s="24"/>
      <c r="D61" s="24"/>
      <c r="E61" s="24"/>
      <c r="F61" s="24"/>
      <c r="G61" s="24"/>
    </row>
    <row r="62" ht="14.25" customHeight="1"/>
    <row r="63" ht="14.25" customHeight="1"/>
    <row r="64" ht="14.25" customHeight="1"/>
    <row r="65" ht="14.25" customHeight="1"/>
    <row r="66" ht="14.25" customHeight="1"/>
    <row r="67" spans="2:11" ht="15" customHeight="1">
      <c r="B67" s="22"/>
      <c r="C67" s="22"/>
      <c r="F67" s="220" t="s">
        <v>70</v>
      </c>
      <c r="G67" s="221"/>
      <c r="H67" s="26"/>
      <c r="I67" s="26"/>
      <c r="K67" t="s">
        <v>41</v>
      </c>
    </row>
    <row r="68" spans="2:11" ht="15" customHeight="1">
      <c r="B68" s="186"/>
      <c r="C68" s="186"/>
      <c r="F68" s="219" t="s">
        <v>156</v>
      </c>
      <c r="G68" s="219"/>
      <c r="H68" s="27"/>
      <c r="I68" s="27"/>
      <c r="K68" t="s">
        <v>150</v>
      </c>
    </row>
    <row r="69" spans="2:9" ht="15" customHeight="1">
      <c r="B69" s="186"/>
      <c r="C69" s="186"/>
      <c r="F69" s="219"/>
      <c r="G69" s="219"/>
      <c r="H69" s="27"/>
      <c r="I69" s="27"/>
    </row>
    <row r="70" spans="1:9" s="19" customFormat="1" ht="15">
      <c r="A70"/>
      <c r="B70"/>
      <c r="C70" s="4"/>
      <c r="D70"/>
      <c r="E70"/>
      <c r="F70"/>
      <c r="G70"/>
      <c r="H70"/>
      <c r="I70"/>
    </row>
    <row r="71" ht="15">
      <c r="C71" s="152">
        <v>21857129.240000002</v>
      </c>
    </row>
    <row r="72" spans="1:9" s="19" customFormat="1" ht="15">
      <c r="A72"/>
      <c r="B72"/>
      <c r="C72" s="4">
        <f>+C53-C71</f>
        <v>1535505.3899999969</v>
      </c>
      <c r="D72"/>
      <c r="E72"/>
      <c r="H72"/>
      <c r="I72"/>
    </row>
    <row r="73" spans="1:9" s="19" customFormat="1" ht="15">
      <c r="A73"/>
      <c r="B73"/>
      <c r="C73"/>
      <c r="D73"/>
      <c r="E73"/>
      <c r="H73"/>
      <c r="I73"/>
    </row>
  </sheetData>
  <sheetProtection/>
  <mergeCells count="18">
    <mergeCell ref="B69:C69"/>
    <mergeCell ref="F69:G69"/>
    <mergeCell ref="B14:B16"/>
    <mergeCell ref="C14:C16"/>
    <mergeCell ref="G14:G16"/>
    <mergeCell ref="F67:G67"/>
    <mergeCell ref="B68:C68"/>
    <mergeCell ref="F68:G68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0" fitToWidth="0" horizontalDpi="360" verticalDpi="36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75" t="s">
        <v>2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51</v>
      </c>
      <c r="B5" s="175"/>
      <c r="C5" s="175"/>
      <c r="D5" s="175"/>
      <c r="E5" s="175"/>
      <c r="F5" s="175"/>
      <c r="G5" s="175"/>
      <c r="H5" s="175"/>
      <c r="I5" s="175"/>
    </row>
    <row r="6" spans="1:9" ht="15">
      <c r="A6" s="175" t="s">
        <v>3</v>
      </c>
      <c r="B6" s="175"/>
      <c r="C6" s="175"/>
      <c r="D6" s="175"/>
      <c r="E6" s="175"/>
      <c r="F6" s="175"/>
      <c r="G6" s="175"/>
      <c r="H6" s="175"/>
      <c r="I6" s="175"/>
    </row>
    <row r="8" ht="9" customHeight="1" thickBot="1"/>
    <row r="9" spans="1:9" ht="21" customHeight="1">
      <c r="A9" s="176" t="s">
        <v>4</v>
      </c>
      <c r="B9" s="179" t="s">
        <v>5</v>
      </c>
      <c r="C9" s="180"/>
      <c r="D9" s="176" t="s">
        <v>6</v>
      </c>
      <c r="E9" s="176" t="s">
        <v>11</v>
      </c>
      <c r="F9" s="176" t="s">
        <v>40</v>
      </c>
      <c r="G9" s="181" t="s">
        <v>12</v>
      </c>
      <c r="H9" s="184" t="s">
        <v>7</v>
      </c>
      <c r="I9" s="1" t="s">
        <v>8</v>
      </c>
    </row>
    <row r="10" spans="1:9" ht="31.5" customHeight="1">
      <c r="A10" s="177"/>
      <c r="B10" s="51" t="s">
        <v>9</v>
      </c>
      <c r="C10" s="53" t="s">
        <v>10</v>
      </c>
      <c r="D10" s="177"/>
      <c r="E10" s="177"/>
      <c r="F10" s="177"/>
      <c r="G10" s="182"/>
      <c r="H10" s="185"/>
      <c r="I10" s="2"/>
    </row>
    <row r="11" spans="1:11" ht="20.25" customHeight="1" thickBot="1">
      <c r="A11" s="178"/>
      <c r="B11" s="52">
        <v>0.3</v>
      </c>
      <c r="C11" s="54">
        <v>0.7</v>
      </c>
      <c r="D11" s="178"/>
      <c r="E11" s="178"/>
      <c r="F11" s="178"/>
      <c r="G11" s="18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>SUM(B14:F14)</f>
        <v>49705954.53</v>
      </c>
      <c r="H14" s="9"/>
      <c r="I14" s="5"/>
      <c r="K14" s="188"/>
      <c r="M14" s="19">
        <f>+K13*0.3</f>
        <v>39603054.3</v>
      </c>
    </row>
    <row r="15" spans="1:11" ht="15">
      <c r="A15" s="34" t="s">
        <v>17</v>
      </c>
      <c r="B15" s="189">
        <f>220000000+22552281</f>
        <v>242552281</v>
      </c>
      <c r="C15" s="189"/>
      <c r="D15" s="10"/>
      <c r="E15" s="11"/>
      <c r="F15" s="11"/>
      <c r="G15" s="192">
        <f>SUM(B15:F15)</f>
        <v>242552281</v>
      </c>
      <c r="H15" s="9"/>
      <c r="I15" s="5"/>
      <c r="K15" s="188"/>
    </row>
    <row r="16" spans="1:11" ht="15">
      <c r="A16" s="34" t="s">
        <v>18</v>
      </c>
      <c r="B16" s="190"/>
      <c r="C16" s="190"/>
      <c r="D16" s="11"/>
      <c r="E16" s="11"/>
      <c r="F16" s="11"/>
      <c r="G16" s="193">
        <f>SUM(B16:F16)</f>
        <v>0</v>
      </c>
      <c r="H16" s="9"/>
      <c r="I16" s="5"/>
      <c r="K16" s="188"/>
    </row>
    <row r="17" spans="1:11" ht="15">
      <c r="A17" s="34" t="s">
        <v>19</v>
      </c>
      <c r="B17" s="190"/>
      <c r="C17" s="190"/>
      <c r="D17" s="11"/>
      <c r="E17" s="11"/>
      <c r="F17" s="11"/>
      <c r="G17" s="193">
        <f>SUM(B17:F17)</f>
        <v>0</v>
      </c>
      <c r="H17" s="9"/>
      <c r="I17" s="5"/>
      <c r="K17" s="57"/>
    </row>
    <row r="18" spans="1:14" ht="15">
      <c r="A18" s="35" t="s">
        <v>20</v>
      </c>
      <c r="B18" s="191"/>
      <c r="C18" s="191"/>
      <c r="D18" s="13"/>
      <c r="E18" s="13"/>
      <c r="F18" s="13"/>
      <c r="G18" s="194">
        <f>SUM(B18:F18)</f>
        <v>0</v>
      </c>
      <c r="H18" s="9"/>
      <c r="I18" s="5"/>
      <c r="K18" s="57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</f>
        <v>12157.54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46855.46</v>
      </c>
      <c r="D35" s="6"/>
      <c r="E35" s="6"/>
      <c r="F35" s="6"/>
      <c r="G35" s="43">
        <f>SUM(B35:F35)</f>
        <v>46855.46</v>
      </c>
      <c r="H35" s="9"/>
      <c r="I35" s="5"/>
    </row>
    <row r="36" spans="1:9" ht="15.75" thickBot="1">
      <c r="A36" s="44" t="s">
        <v>36</v>
      </c>
      <c r="B36" s="46">
        <f>B21-B35</f>
        <v>281750335.3</v>
      </c>
      <c r="C36" s="46">
        <f>+C21-C35</f>
        <v>141121225.77</v>
      </c>
      <c r="D36" s="47"/>
      <c r="E36" s="47"/>
      <c r="F36" s="47"/>
      <c r="G36" s="48">
        <f>G21-G35</f>
        <v>422871561.07000005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 t="s">
        <v>69</v>
      </c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96" t="str">
        <f>+K46</f>
        <v>CHARLITO B. PADUL</v>
      </c>
      <c r="G46" s="195"/>
      <c r="H46" s="26"/>
      <c r="I46" s="26"/>
      <c r="J46" s="26"/>
      <c r="K46" s="4" t="s">
        <v>70</v>
      </c>
    </row>
    <row r="47" spans="2:11" ht="15" customHeight="1">
      <c r="B47" s="186"/>
      <c r="C47" s="186"/>
      <c r="F47" s="197" t="str">
        <f>+K47</f>
        <v>Asisstant City Budget Officer</v>
      </c>
      <c r="G47" s="187"/>
      <c r="H47" s="27"/>
      <c r="I47" s="27"/>
      <c r="J47" s="27"/>
      <c r="K47" s="19" t="s">
        <v>71</v>
      </c>
    </row>
    <row r="48" spans="2:11" ht="15" customHeight="1">
      <c r="B48" s="186"/>
      <c r="C48" s="186"/>
      <c r="F48" s="187" t="s">
        <v>43</v>
      </c>
      <c r="G48" s="187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8:C48"/>
    <mergeCell ref="F48:G48"/>
    <mergeCell ref="K14:K16"/>
    <mergeCell ref="B15:B18"/>
    <mergeCell ref="C15:C18"/>
    <mergeCell ref="G15:G18"/>
    <mergeCell ref="F46:G46"/>
    <mergeCell ref="B47:C47"/>
    <mergeCell ref="F47:G47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74"/>
  <sheetViews>
    <sheetView zoomScale="90" zoomScaleNormal="90" zoomScalePageLayoutView="0" workbookViewId="0" topLeftCell="A1">
      <pane ySplit="10" topLeftCell="A19" activePane="bottomLeft" state="frozen"/>
      <selection pane="topLeft" activeCell="C43" sqref="C43"/>
      <selection pane="bottomLeft" activeCell="C43" sqref="C43"/>
    </sheetView>
  </sheetViews>
  <sheetFormatPr defaultColWidth="9.140625" defaultRowHeight="15"/>
  <cols>
    <col min="1" max="1" width="64.00390625" style="0" customWidth="1"/>
    <col min="2" max="3" width="16.00390625" style="0" customWidth="1"/>
    <col min="4" max="6" width="9.7109375" style="0" customWidth="1"/>
    <col min="7" max="7" width="16.421875" style="0" customWidth="1"/>
    <col min="8" max="8" width="17.57421875" style="0" hidden="1" customWidth="1"/>
    <col min="9" max="9" width="12.8515625" style="0" hidden="1" customWidth="1"/>
    <col min="11" max="11" width="21.421875" style="0" customWidth="1"/>
  </cols>
  <sheetData>
    <row r="1" ht="15">
      <c r="A1" t="s">
        <v>0</v>
      </c>
    </row>
    <row r="2" ht="15">
      <c r="A2" t="s">
        <v>1</v>
      </c>
    </row>
    <row r="3" spans="1:9" ht="15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75" t="s">
        <v>185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3</v>
      </c>
      <c r="B5" s="175"/>
      <c r="C5" s="175"/>
      <c r="D5" s="175"/>
      <c r="E5" s="175"/>
      <c r="F5" s="175"/>
      <c r="G5" s="175"/>
      <c r="H5" s="175"/>
      <c r="I5" s="175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12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117">
        <v>3276089043</v>
      </c>
      <c r="L11" s="150" t="s">
        <v>154</v>
      </c>
    </row>
    <row r="12" spans="1:12" s="97" customFormat="1" ht="15">
      <c r="A12" s="40" t="s">
        <v>68</v>
      </c>
      <c r="B12" s="8">
        <f>+K12*0.3</f>
        <v>49141335.6</v>
      </c>
      <c r="C12" s="8">
        <f>+K12*0.7</f>
        <v>114663116.39999999</v>
      </c>
      <c r="D12" s="8"/>
      <c r="E12" s="8"/>
      <c r="F12" s="8"/>
      <c r="G12" s="81">
        <f>+B12+C12</f>
        <v>163804452</v>
      </c>
      <c r="H12" s="82"/>
      <c r="I12" s="80"/>
      <c r="K12" s="19">
        <v>163804452</v>
      </c>
      <c r="L12" s="149">
        <v>0.05</v>
      </c>
    </row>
    <row r="13" spans="1:12" ht="15">
      <c r="A13" s="40" t="s">
        <v>146</v>
      </c>
      <c r="B13" s="8"/>
      <c r="C13" s="8">
        <v>68279468.5</v>
      </c>
      <c r="D13" s="8"/>
      <c r="E13" s="8"/>
      <c r="F13" s="8"/>
      <c r="G13" s="81">
        <f>+C13</f>
        <v>68279468.5</v>
      </c>
      <c r="H13" s="82"/>
      <c r="I13" s="80"/>
      <c r="K13" s="19">
        <f>+K12*0.7</f>
        <v>114663116.39999999</v>
      </c>
      <c r="L13">
        <v>70</v>
      </c>
    </row>
    <row r="14" spans="1:12" ht="15">
      <c r="A14" s="41" t="s">
        <v>17</v>
      </c>
      <c r="B14" s="189">
        <f>+K25</f>
        <v>228626295.82000002</v>
      </c>
      <c r="C14" s="189"/>
      <c r="D14" s="10"/>
      <c r="E14" s="83"/>
      <c r="F14" s="83"/>
      <c r="G14" s="192">
        <f>+B14</f>
        <v>228626295.82000002</v>
      </c>
      <c r="H14" s="82"/>
      <c r="I14" s="80"/>
      <c r="K14" s="19">
        <f>+K12*0.3</f>
        <v>49141335.6</v>
      </c>
      <c r="L14">
        <v>30</v>
      </c>
    </row>
    <row r="15" spans="1:9" ht="15">
      <c r="A15" s="41" t="s">
        <v>18</v>
      </c>
      <c r="B15" s="190"/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149</v>
      </c>
      <c r="B16" s="190"/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21</v>
      </c>
      <c r="B17" s="84"/>
      <c r="C17" s="84"/>
      <c r="D17" s="84"/>
      <c r="E17" s="84"/>
      <c r="F17" s="84"/>
      <c r="G17" s="85"/>
      <c r="H17" s="82"/>
      <c r="I17" s="80"/>
    </row>
    <row r="18" spans="1:9" s="16" customFormat="1" ht="15" hidden="1">
      <c r="A18" s="40" t="s">
        <v>22</v>
      </c>
      <c r="B18" s="8"/>
      <c r="C18" s="8"/>
      <c r="D18" s="8"/>
      <c r="E18" s="8"/>
      <c r="F18" s="8"/>
      <c r="G18" s="81"/>
      <c r="H18" s="82"/>
      <c r="I18" s="80"/>
    </row>
    <row r="19" spans="1:11" ht="15">
      <c r="A19" s="39" t="s">
        <v>23</v>
      </c>
      <c r="B19" s="86">
        <f>SUM(B12:B18)</f>
        <v>277767631.42</v>
      </c>
      <c r="C19" s="86">
        <f>SUM(C12:C18)</f>
        <v>182942584.89999998</v>
      </c>
      <c r="D19" s="8"/>
      <c r="E19" s="8"/>
      <c r="F19" s="8"/>
      <c r="G19" s="81">
        <f>SUM(B19:F19)</f>
        <v>460710216.32</v>
      </c>
      <c r="H19" s="82"/>
      <c r="I19" s="80"/>
      <c r="J19">
        <v>2014</v>
      </c>
      <c r="K19" s="4">
        <v>25751090</v>
      </c>
    </row>
    <row r="20" spans="1:11" ht="15">
      <c r="A20" s="39" t="s">
        <v>24</v>
      </c>
      <c r="B20" s="8"/>
      <c r="C20" s="8"/>
      <c r="D20" s="8"/>
      <c r="E20" s="8"/>
      <c r="F20" s="8"/>
      <c r="G20" s="81"/>
      <c r="H20" s="82"/>
      <c r="I20" s="80"/>
      <c r="J20">
        <v>2015</v>
      </c>
      <c r="K20" s="4">
        <v>31603481.5</v>
      </c>
    </row>
    <row r="21" spans="1:11" ht="15">
      <c r="A21" s="40" t="s">
        <v>25</v>
      </c>
      <c r="B21" s="8"/>
      <c r="C21" s="8"/>
      <c r="D21" s="8"/>
      <c r="E21" s="8"/>
      <c r="F21" s="8"/>
      <c r="G21" s="81"/>
      <c r="H21" s="82"/>
      <c r="I21" s="80"/>
      <c r="J21">
        <v>2016</v>
      </c>
      <c r="K21" s="4">
        <v>60262141.58</v>
      </c>
    </row>
    <row r="22" spans="1:11" ht="15">
      <c r="A22" s="40" t="s">
        <v>26</v>
      </c>
      <c r="B22" s="8"/>
      <c r="C22" s="8"/>
      <c r="D22" s="8"/>
      <c r="E22" s="8"/>
      <c r="F22" s="8"/>
      <c r="G22" s="81"/>
      <c r="H22" s="82"/>
      <c r="I22" s="80"/>
      <c r="J22">
        <v>2017</v>
      </c>
      <c r="K22" s="4">
        <v>45433875.53</v>
      </c>
    </row>
    <row r="23" spans="1:11" ht="15">
      <c r="A23" s="40" t="s">
        <v>27</v>
      </c>
      <c r="B23" s="8"/>
      <c r="C23" s="8"/>
      <c r="D23" s="8"/>
      <c r="E23" s="8"/>
      <c r="F23" s="8"/>
      <c r="G23" s="81"/>
      <c r="H23" s="82"/>
      <c r="I23" s="80"/>
      <c r="J23">
        <v>2018</v>
      </c>
      <c r="K23" s="4">
        <v>65575707.21</v>
      </c>
    </row>
    <row r="24" spans="1:9" ht="15" hidden="1">
      <c r="A24" s="40" t="s">
        <v>28</v>
      </c>
      <c r="B24" s="8"/>
      <c r="C24" s="8"/>
      <c r="D24" s="8"/>
      <c r="E24" s="8"/>
      <c r="F24" s="8"/>
      <c r="G24" s="81"/>
      <c r="H24" s="82"/>
      <c r="I24" s="80"/>
    </row>
    <row r="25" spans="1:11" ht="15.75" thickBot="1">
      <c r="A25" s="40" t="s">
        <v>45</v>
      </c>
      <c r="B25" s="8"/>
      <c r="C25" s="8"/>
      <c r="D25" s="8"/>
      <c r="E25" s="8"/>
      <c r="F25" s="8"/>
      <c r="G25" s="81"/>
      <c r="H25" s="82"/>
      <c r="I25" s="80"/>
      <c r="K25" s="148">
        <f>SUM(K19:K24)</f>
        <v>228626295.82000002</v>
      </c>
    </row>
    <row r="26" spans="1:9" ht="15.75" thickTop="1">
      <c r="A26" s="40" t="s">
        <v>165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159</v>
      </c>
      <c r="B27" s="8"/>
      <c r="C27" s="8">
        <f>26216.32+12358.91+31703.57+16658.99+60000+100000+14000+14000</f>
        <v>274937.79</v>
      </c>
      <c r="D27" s="8"/>
      <c r="E27" s="8"/>
      <c r="F27" s="8"/>
      <c r="G27" s="81"/>
      <c r="H27" s="82"/>
      <c r="I27" s="80"/>
    </row>
    <row r="28" spans="1:9" ht="15">
      <c r="A28" s="40" t="s">
        <v>186</v>
      </c>
      <c r="B28" s="8"/>
      <c r="C28" s="8">
        <f>199750+281062.5+71910+281062.5+199750+870360+71880+270000+150000+160000</f>
        <v>2555775</v>
      </c>
      <c r="D28" s="8"/>
      <c r="E28" s="8"/>
      <c r="F28" s="8"/>
      <c r="G28" s="81"/>
      <c r="H28" s="82"/>
      <c r="I28" s="80"/>
    </row>
    <row r="29" spans="1:9" ht="15">
      <c r="A29" s="40" t="s">
        <v>176</v>
      </c>
      <c r="B29" s="8"/>
      <c r="C29" s="8">
        <f>185875+178900+195850</f>
        <v>560625</v>
      </c>
      <c r="D29" s="8"/>
      <c r="E29" s="8"/>
      <c r="F29" s="8"/>
      <c r="G29" s="81"/>
      <c r="H29" s="82"/>
      <c r="I29" s="80"/>
    </row>
    <row r="30" spans="1:9" ht="15">
      <c r="A30" s="40" t="s">
        <v>166</v>
      </c>
      <c r="B30" s="8"/>
      <c r="C30" s="8">
        <f>11690+11690+10570+9740+19595+9825</f>
        <v>73110</v>
      </c>
      <c r="D30" s="8"/>
      <c r="E30" s="8"/>
      <c r="F30" s="8"/>
      <c r="G30" s="81"/>
      <c r="H30" s="82"/>
      <c r="I30" s="80"/>
    </row>
    <row r="31" spans="1:9" ht="15">
      <c r="A31" s="40" t="s">
        <v>81</v>
      </c>
      <c r="B31" s="8"/>
      <c r="C31" s="8">
        <f>4183.18+4183.18+7670.47+4258.33+1999+4208.67+8430.03+4183.18+4698.71+4203.56</f>
        <v>48018.31</v>
      </c>
      <c r="D31" s="8"/>
      <c r="E31" s="8"/>
      <c r="F31" s="8"/>
      <c r="G31" s="81"/>
      <c r="H31" s="82"/>
      <c r="I31" s="80"/>
    </row>
    <row r="32" spans="1:9" ht="15">
      <c r="A32" s="40" t="s">
        <v>175</v>
      </c>
      <c r="B32" s="8"/>
      <c r="C32" s="8">
        <f>1001.29+5338.14+757.8</f>
        <v>7097.2300000000005</v>
      </c>
      <c r="D32" s="8"/>
      <c r="E32" s="8"/>
      <c r="F32" s="8"/>
      <c r="G32" s="81"/>
      <c r="H32" s="82"/>
      <c r="I32" s="80"/>
    </row>
    <row r="33" spans="1:9" ht="15">
      <c r="A33" s="40" t="s">
        <v>162</v>
      </c>
      <c r="B33" s="8"/>
      <c r="C33" s="8">
        <f>241880+176331+7700</f>
        <v>425911</v>
      </c>
      <c r="D33" s="8"/>
      <c r="E33" s="8"/>
      <c r="F33" s="8"/>
      <c r="G33" s="81"/>
      <c r="H33" s="82"/>
      <c r="I33" s="80"/>
    </row>
    <row r="34" spans="1:9" ht="15">
      <c r="A34" s="40" t="s">
        <v>164</v>
      </c>
      <c r="B34" s="8"/>
      <c r="C34" s="8">
        <f>167975+137445</f>
        <v>305420</v>
      </c>
      <c r="D34" s="8"/>
      <c r="E34" s="8"/>
      <c r="F34" s="8"/>
      <c r="G34" s="81"/>
      <c r="H34" s="82"/>
      <c r="I34" s="80"/>
    </row>
    <row r="35" spans="1:11" ht="15">
      <c r="A35" s="40" t="s">
        <v>173</v>
      </c>
      <c r="B35" s="8"/>
      <c r="C35" s="8">
        <v>189840</v>
      </c>
      <c r="D35" s="8"/>
      <c r="E35" s="8"/>
      <c r="F35" s="8"/>
      <c r="G35" s="81"/>
      <c r="H35" s="82"/>
      <c r="I35" s="80"/>
      <c r="K35" t="s">
        <v>155</v>
      </c>
    </row>
    <row r="36" spans="1:9" ht="15">
      <c r="A36" s="40" t="s">
        <v>90</v>
      </c>
      <c r="B36" s="8"/>
      <c r="C36" s="8">
        <v>98200</v>
      </c>
      <c r="D36" s="8"/>
      <c r="E36" s="8"/>
      <c r="F36" s="8"/>
      <c r="G36" s="81"/>
      <c r="H36" s="82"/>
      <c r="I36" s="80"/>
    </row>
    <row r="37" spans="1:9" ht="15">
      <c r="A37" s="40" t="s">
        <v>91</v>
      </c>
      <c r="B37" s="8"/>
      <c r="C37" s="8">
        <v>192000</v>
      </c>
      <c r="D37" s="8"/>
      <c r="E37" s="8"/>
      <c r="F37" s="8"/>
      <c r="G37" s="81"/>
      <c r="H37" s="82"/>
      <c r="I37" s="80"/>
    </row>
    <row r="38" spans="1:9" ht="15" customHeight="1">
      <c r="A38" s="40" t="s">
        <v>169</v>
      </c>
      <c r="B38" s="8"/>
      <c r="C38" s="8">
        <f>62368.29+52638.62+133078.32</f>
        <v>248085.23</v>
      </c>
      <c r="D38" s="8"/>
      <c r="E38" s="8"/>
      <c r="F38" s="8"/>
      <c r="G38" s="81"/>
      <c r="H38" s="82"/>
      <c r="I38" s="80"/>
    </row>
    <row r="39" spans="1:9" ht="15" customHeight="1">
      <c r="A39" s="40" t="s">
        <v>170</v>
      </c>
      <c r="B39" s="8"/>
      <c r="C39" s="8">
        <f>2679.36+4134.9</f>
        <v>6814.26</v>
      </c>
      <c r="D39" s="8"/>
      <c r="E39" s="8"/>
      <c r="F39" s="8"/>
      <c r="G39" s="81"/>
      <c r="H39" s="82"/>
      <c r="I39" s="80"/>
    </row>
    <row r="40" spans="1:9" ht="15" customHeight="1">
      <c r="A40" s="40" t="s">
        <v>182</v>
      </c>
      <c r="B40" s="8"/>
      <c r="C40" s="8">
        <v>42699.37</v>
      </c>
      <c r="D40" s="8"/>
      <c r="E40" s="8"/>
      <c r="F40" s="8"/>
      <c r="G40" s="81"/>
      <c r="H40" s="82"/>
      <c r="I40" s="80"/>
    </row>
    <row r="41" spans="1:9" ht="15" customHeight="1">
      <c r="A41" s="40" t="s">
        <v>92</v>
      </c>
      <c r="B41" s="8"/>
      <c r="C41" s="8">
        <f>212500+101180+366326.5</f>
        <v>680006.5</v>
      </c>
      <c r="D41" s="8"/>
      <c r="E41" s="8"/>
      <c r="F41" s="8"/>
      <c r="G41" s="81"/>
      <c r="H41" s="82"/>
      <c r="I41" s="80"/>
    </row>
    <row r="42" spans="1:9" ht="15" customHeight="1">
      <c r="A42" s="40" t="s">
        <v>180</v>
      </c>
      <c r="B42" s="8"/>
      <c r="C42" s="8">
        <f>19480+799500</f>
        <v>818980</v>
      </c>
      <c r="D42" s="8"/>
      <c r="E42" s="8"/>
      <c r="F42" s="8"/>
      <c r="G42" s="81"/>
      <c r="H42" s="82"/>
      <c r="I42" s="80"/>
    </row>
    <row r="43" spans="1:9" ht="15">
      <c r="A43" s="42" t="s">
        <v>31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40" t="s">
        <v>179</v>
      </c>
      <c r="B44" s="8"/>
      <c r="C44" s="8">
        <v>975000</v>
      </c>
      <c r="D44" s="8"/>
      <c r="E44" s="8"/>
      <c r="F44" s="8"/>
      <c r="G44" s="81"/>
      <c r="H44" s="82"/>
      <c r="I44" s="80"/>
    </row>
    <row r="45" spans="1:9" ht="31.5" customHeight="1">
      <c r="A45" s="155" t="s">
        <v>187</v>
      </c>
      <c r="B45" s="8"/>
      <c r="C45" s="8">
        <v>2000000</v>
      </c>
      <c r="D45" s="8"/>
      <c r="E45" s="8"/>
      <c r="F45" s="8"/>
      <c r="G45" s="81"/>
      <c r="H45" s="82"/>
      <c r="I45" s="80"/>
    </row>
    <row r="46" spans="1:9" ht="15">
      <c r="A46" s="40" t="s">
        <v>32</v>
      </c>
      <c r="B46" s="8"/>
      <c r="C46" s="8"/>
      <c r="D46" s="8"/>
      <c r="E46" s="8"/>
      <c r="F46" s="8"/>
      <c r="G46" s="81"/>
      <c r="H46" s="82"/>
      <c r="I46" s="80"/>
    </row>
    <row r="47" spans="1:9" ht="15">
      <c r="A47" s="40" t="s">
        <v>167</v>
      </c>
      <c r="B47" s="8"/>
      <c r="C47" s="8">
        <v>9936000</v>
      </c>
      <c r="D47" s="8"/>
      <c r="E47" s="8"/>
      <c r="F47" s="8"/>
      <c r="G47" s="81"/>
      <c r="H47" s="82"/>
      <c r="I47" s="80"/>
    </row>
    <row r="48" spans="1:9" ht="15">
      <c r="A48" s="40" t="s">
        <v>172</v>
      </c>
      <c r="B48" s="8"/>
      <c r="C48" s="8">
        <v>4497000</v>
      </c>
      <c r="D48" s="8"/>
      <c r="E48" s="8"/>
      <c r="F48" s="8"/>
      <c r="G48" s="81"/>
      <c r="H48" s="82"/>
      <c r="I48" s="80"/>
    </row>
    <row r="49" spans="1:9" ht="15">
      <c r="A49" s="40" t="s">
        <v>178</v>
      </c>
      <c r="B49" s="8"/>
      <c r="C49" s="8">
        <v>3149000</v>
      </c>
      <c r="D49" s="8"/>
      <c r="E49" s="8"/>
      <c r="F49" s="8"/>
      <c r="G49" s="81"/>
      <c r="H49" s="82"/>
      <c r="I49" s="80"/>
    </row>
    <row r="50" spans="1:9" ht="15">
      <c r="A50" s="40" t="s">
        <v>181</v>
      </c>
      <c r="B50" s="8"/>
      <c r="C50" s="8">
        <v>36350</v>
      </c>
      <c r="D50" s="8"/>
      <c r="E50" s="8"/>
      <c r="F50" s="8"/>
      <c r="G50" s="81"/>
      <c r="H50" s="82"/>
      <c r="I50" s="80"/>
    </row>
    <row r="51" spans="1:9" ht="15">
      <c r="A51" s="40" t="s">
        <v>183</v>
      </c>
      <c r="B51" s="8"/>
      <c r="C51" s="8">
        <v>117500</v>
      </c>
      <c r="D51" s="8"/>
      <c r="E51" s="8"/>
      <c r="F51" s="8"/>
      <c r="G51" s="81"/>
      <c r="H51" s="82"/>
      <c r="I51" s="80"/>
    </row>
    <row r="52" spans="1:9" ht="15">
      <c r="A52" s="40" t="s">
        <v>33</v>
      </c>
      <c r="B52" s="8"/>
      <c r="C52" s="8"/>
      <c r="D52" s="8"/>
      <c r="E52" s="8"/>
      <c r="F52" s="8"/>
      <c r="G52" s="81"/>
      <c r="H52" s="82"/>
      <c r="I52" s="80"/>
    </row>
    <row r="53" spans="1:9" ht="15">
      <c r="A53" s="40" t="s">
        <v>34</v>
      </c>
      <c r="B53" s="8"/>
      <c r="C53" s="8"/>
      <c r="D53" s="8"/>
      <c r="E53" s="8"/>
      <c r="F53" s="8"/>
      <c r="G53" s="81"/>
      <c r="H53" s="82"/>
      <c r="I53" s="80"/>
    </row>
    <row r="54" spans="1:9" ht="15">
      <c r="A54" s="39" t="s">
        <v>35</v>
      </c>
      <c r="B54" s="86">
        <f>+SUM(B20:B53)</f>
        <v>0</v>
      </c>
      <c r="C54" s="86">
        <f>+SUM(C20:C53)</f>
        <v>27238369.69</v>
      </c>
      <c r="D54" s="8"/>
      <c r="E54" s="8"/>
      <c r="F54" s="8"/>
      <c r="G54" s="89"/>
      <c r="H54" s="82"/>
      <c r="I54" s="80"/>
    </row>
    <row r="55" spans="1:9" ht="15.75" thickBot="1">
      <c r="A55" s="44" t="s">
        <v>36</v>
      </c>
      <c r="B55" s="90">
        <f>+B19-B54</f>
        <v>277767631.42</v>
      </c>
      <c r="C55" s="90">
        <f>+C19-C54</f>
        <v>155704215.20999998</v>
      </c>
      <c r="D55" s="91"/>
      <c r="E55" s="91"/>
      <c r="F55" s="91"/>
      <c r="G55" s="92">
        <f>+G19</f>
        <v>460710216.32</v>
      </c>
      <c r="H55" s="82"/>
      <c r="I55" s="80"/>
    </row>
    <row r="56" spans="1:9" ht="15">
      <c r="A56" s="20"/>
      <c r="B56" s="21"/>
      <c r="C56" s="21"/>
      <c r="D56" s="7"/>
      <c r="E56" s="7"/>
      <c r="F56" s="7"/>
      <c r="G56" s="21"/>
      <c r="H56" s="7"/>
      <c r="I56" s="22"/>
    </row>
    <row r="57" spans="1:9" ht="15">
      <c r="A57" s="24" t="s">
        <v>151</v>
      </c>
      <c r="B57" s="21"/>
      <c r="C57" s="21"/>
      <c r="D57" s="7"/>
      <c r="E57" s="7"/>
      <c r="F57" s="7"/>
      <c r="G57" s="21"/>
      <c r="H57" s="7"/>
      <c r="I57" s="22"/>
    </row>
    <row r="58" spans="1:7" ht="15">
      <c r="A58" s="24"/>
      <c r="D58" s="24"/>
      <c r="E58" s="24"/>
      <c r="F58" s="24"/>
      <c r="G58" s="24"/>
    </row>
    <row r="59" spans="4:7" ht="15">
      <c r="D59" s="24"/>
      <c r="E59" s="24"/>
      <c r="F59" s="24"/>
      <c r="G59" s="24"/>
    </row>
    <row r="60" spans="1:7" ht="15">
      <c r="A60" s="23" t="s">
        <v>147</v>
      </c>
      <c r="C60" s="24"/>
      <c r="D60" s="24"/>
      <c r="E60" s="24"/>
      <c r="F60" s="24"/>
      <c r="G60" s="24"/>
    </row>
    <row r="61" spans="1:7" ht="15">
      <c r="A61" s="23" t="s">
        <v>148</v>
      </c>
      <c r="C61" s="24"/>
      <c r="D61" s="24"/>
      <c r="E61" s="24"/>
      <c r="F61" s="24"/>
      <c r="G61" s="24"/>
    </row>
    <row r="62" spans="3:7" ht="15">
      <c r="C62" s="24"/>
      <c r="D62" s="24"/>
      <c r="E62" s="24"/>
      <c r="F62" s="24"/>
      <c r="G62" s="24"/>
    </row>
    <row r="63" ht="14.25" customHeight="1"/>
    <row r="64" ht="14.25" customHeight="1"/>
    <row r="65" ht="14.25" customHeight="1"/>
    <row r="66" ht="14.25" customHeight="1"/>
    <row r="67" ht="14.25" customHeight="1"/>
    <row r="68" spans="2:11" ht="15" customHeight="1">
      <c r="B68" s="22"/>
      <c r="C68" s="22"/>
      <c r="F68" s="220" t="s">
        <v>70</v>
      </c>
      <c r="G68" s="221"/>
      <c r="H68" s="26"/>
      <c r="I68" s="26"/>
      <c r="K68" t="s">
        <v>41</v>
      </c>
    </row>
    <row r="69" spans="2:11" ht="15" customHeight="1">
      <c r="B69" s="186"/>
      <c r="C69" s="186"/>
      <c r="F69" s="219" t="s">
        <v>156</v>
      </c>
      <c r="G69" s="219"/>
      <c r="H69" s="27"/>
      <c r="I69" s="27"/>
      <c r="K69" t="s">
        <v>150</v>
      </c>
    </row>
    <row r="70" spans="2:9" ht="15" customHeight="1">
      <c r="B70" s="186"/>
      <c r="C70" s="186"/>
      <c r="F70" s="219"/>
      <c r="G70" s="219"/>
      <c r="H70" s="27"/>
      <c r="I70" s="27"/>
    </row>
    <row r="71" spans="1:9" s="19" customFormat="1" ht="15">
      <c r="A71"/>
      <c r="B71"/>
      <c r="C71" s="4"/>
      <c r="D71"/>
      <c r="E71"/>
      <c r="F71"/>
      <c r="G71"/>
      <c r="H71"/>
      <c r="I71"/>
    </row>
    <row r="72" ht="15">
      <c r="C72" s="152">
        <v>27238369.689999998</v>
      </c>
    </row>
    <row r="73" spans="1:9" s="19" customFormat="1" ht="15">
      <c r="A73"/>
      <c r="B73"/>
      <c r="C73" s="4">
        <f>+C54-C72</f>
        <v>0</v>
      </c>
      <c r="D73"/>
      <c r="E73"/>
      <c r="H73"/>
      <c r="I73"/>
    </row>
    <row r="74" spans="1:9" s="19" customFormat="1" ht="15">
      <c r="A74"/>
      <c r="B74"/>
      <c r="C74"/>
      <c r="D74"/>
      <c r="E74"/>
      <c r="H74"/>
      <c r="I74"/>
    </row>
  </sheetData>
  <sheetProtection/>
  <mergeCells count="18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B70:C70"/>
    <mergeCell ref="F70:G70"/>
    <mergeCell ref="B14:B16"/>
    <mergeCell ref="C14:C16"/>
    <mergeCell ref="G14:G16"/>
    <mergeCell ref="F68:G68"/>
    <mergeCell ref="B69:C69"/>
    <mergeCell ref="F69:G69"/>
  </mergeCells>
  <printOptions horizontalCentered="1"/>
  <pageMargins left="0.25" right="0.25" top="0.75" bottom="0.75" header="0.3" footer="0.3"/>
  <pageSetup fitToHeight="0" fitToWidth="0" horizontalDpi="360" verticalDpi="360" orientation="portrait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pane ySplit="10" topLeftCell="A17" activePane="bottomLeft" state="frozen"/>
      <selection pane="topLeft" activeCell="C20" sqref="C20"/>
      <selection pane="bottomLeft" activeCell="C20" sqref="C20"/>
    </sheetView>
  </sheetViews>
  <sheetFormatPr defaultColWidth="9.140625" defaultRowHeight="15"/>
  <cols>
    <col min="1" max="1" width="64.00390625" style="97" customWidth="1"/>
    <col min="2" max="3" width="16.00390625" style="97" customWidth="1"/>
    <col min="4" max="4" width="13.28125" style="97" bestFit="1" customWidth="1"/>
    <col min="5" max="5" width="14.57421875" style="97" customWidth="1"/>
    <col min="6" max="6" width="9.7109375" style="97" customWidth="1"/>
    <col min="7" max="7" width="16.421875" style="97" customWidth="1"/>
    <col min="8" max="8" width="17.57421875" style="97" hidden="1" customWidth="1"/>
    <col min="9" max="9" width="12.8515625" style="97" hidden="1" customWidth="1"/>
    <col min="10" max="10" width="9.140625" style="97" customWidth="1"/>
    <col min="11" max="11" width="21.421875" style="97" customWidth="1"/>
    <col min="12" max="16384" width="9.140625" style="97" customWidth="1"/>
  </cols>
  <sheetData>
    <row r="1" ht="15">
      <c r="A1" s="97" t="s">
        <v>0</v>
      </c>
    </row>
    <row r="2" ht="15">
      <c r="A2" s="97" t="s">
        <v>1</v>
      </c>
    </row>
    <row r="3" spans="1:9" ht="15">
      <c r="A3" s="222" t="s">
        <v>2</v>
      </c>
      <c r="B3" s="222"/>
      <c r="C3" s="222"/>
      <c r="D3" s="222"/>
      <c r="E3" s="222"/>
      <c r="F3" s="222"/>
      <c r="G3" s="222"/>
      <c r="H3" s="222"/>
      <c r="I3" s="222"/>
    </row>
    <row r="4" spans="1:9" ht="15">
      <c r="A4" s="222" t="s">
        <v>203</v>
      </c>
      <c r="B4" s="222"/>
      <c r="C4" s="222"/>
      <c r="D4" s="222"/>
      <c r="E4" s="222"/>
      <c r="F4" s="222"/>
      <c r="G4" s="222"/>
      <c r="H4" s="222"/>
      <c r="I4" s="222"/>
    </row>
    <row r="5" spans="1:9" ht="15">
      <c r="A5" s="222" t="s">
        <v>3</v>
      </c>
      <c r="B5" s="222"/>
      <c r="C5" s="222"/>
      <c r="D5" s="222"/>
      <c r="E5" s="222"/>
      <c r="F5" s="222"/>
      <c r="G5" s="222"/>
      <c r="H5" s="222"/>
      <c r="I5" s="222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12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117">
        <v>3276089043</v>
      </c>
      <c r="L11" s="150" t="s">
        <v>154</v>
      </c>
    </row>
    <row r="12" spans="1:12" ht="15">
      <c r="A12" s="40" t="s">
        <v>68</v>
      </c>
      <c r="B12" s="8">
        <f>+K12*0.3</f>
        <v>49141335.6</v>
      </c>
      <c r="C12" s="8">
        <f>+K12*0.7</f>
        <v>114663116.39999999</v>
      </c>
      <c r="D12" s="8"/>
      <c r="E12" s="8"/>
      <c r="F12" s="8"/>
      <c r="G12" s="81">
        <f>+B12+C12</f>
        <v>163804452</v>
      </c>
      <c r="H12" s="82"/>
      <c r="I12" s="80"/>
      <c r="K12" s="117">
        <v>163804452</v>
      </c>
      <c r="L12" s="156">
        <v>0.05</v>
      </c>
    </row>
    <row r="13" spans="1:12" ht="15">
      <c r="A13" s="40" t="s">
        <v>146</v>
      </c>
      <c r="B13" s="8"/>
      <c r="C13" s="8">
        <v>68279468.5</v>
      </c>
      <c r="D13" s="8"/>
      <c r="E13" s="8"/>
      <c r="F13" s="8"/>
      <c r="G13" s="81">
        <f>+C13</f>
        <v>68279468.5</v>
      </c>
      <c r="H13" s="82"/>
      <c r="I13" s="80"/>
      <c r="K13" s="117">
        <f>+K12*0.7</f>
        <v>114663116.39999999</v>
      </c>
      <c r="L13" s="97">
        <v>70</v>
      </c>
    </row>
    <row r="14" spans="1:12" ht="15">
      <c r="A14" s="41" t="s">
        <v>17</v>
      </c>
      <c r="C14" s="189">
        <f>+K25</f>
        <v>228626295.82000002</v>
      </c>
      <c r="D14" s="10"/>
      <c r="E14" s="83"/>
      <c r="F14" s="83"/>
      <c r="G14" s="192">
        <f>+C14</f>
        <v>228626295.82000002</v>
      </c>
      <c r="H14" s="82"/>
      <c r="I14" s="80"/>
      <c r="K14" s="117">
        <f>+K12*0.3</f>
        <v>49141335.6</v>
      </c>
      <c r="L14" s="97">
        <v>30</v>
      </c>
    </row>
    <row r="15" spans="1:9" ht="15">
      <c r="A15" s="41" t="s">
        <v>18</v>
      </c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149</v>
      </c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21</v>
      </c>
      <c r="B17" s="84"/>
      <c r="C17" s="84"/>
      <c r="D17" s="84"/>
      <c r="E17" s="84"/>
      <c r="F17" s="84"/>
      <c r="G17" s="85"/>
      <c r="H17" s="82"/>
      <c r="I17" s="80"/>
    </row>
    <row r="18" spans="1:9" ht="15" hidden="1">
      <c r="A18" s="40" t="s">
        <v>22</v>
      </c>
      <c r="B18" s="8"/>
      <c r="C18" s="8"/>
      <c r="D18" s="8"/>
      <c r="E18" s="8"/>
      <c r="F18" s="8"/>
      <c r="G18" s="81"/>
      <c r="H18" s="82"/>
      <c r="I18" s="80"/>
    </row>
    <row r="19" spans="1:11" ht="15">
      <c r="A19" s="39" t="s">
        <v>23</v>
      </c>
      <c r="B19" s="86">
        <f>SUM(B12:B18)</f>
        <v>49141335.6</v>
      </c>
      <c r="C19" s="86">
        <f>SUM(C12:C18)</f>
        <v>411568880.72</v>
      </c>
      <c r="D19" s="8"/>
      <c r="E19" s="8"/>
      <c r="F19" s="8"/>
      <c r="G19" s="81">
        <f>SUM(B19:F19)</f>
        <v>460710216.32000005</v>
      </c>
      <c r="H19" s="82"/>
      <c r="I19" s="80"/>
      <c r="J19" s="97">
        <v>2014</v>
      </c>
      <c r="K19" s="157">
        <v>25751090</v>
      </c>
    </row>
    <row r="20" spans="1:11" ht="15">
      <c r="A20" s="39" t="s">
        <v>24</v>
      </c>
      <c r="B20" s="8"/>
      <c r="C20" s="8"/>
      <c r="D20" s="8"/>
      <c r="E20" s="8"/>
      <c r="F20" s="8"/>
      <c r="G20" s="81"/>
      <c r="H20" s="82"/>
      <c r="I20" s="80"/>
      <c r="J20" s="97">
        <v>2015</v>
      </c>
      <c r="K20" s="157">
        <v>31603481.5</v>
      </c>
    </row>
    <row r="21" spans="1:11" ht="15">
      <c r="A21" s="40" t="s">
        <v>25</v>
      </c>
      <c r="B21" s="8"/>
      <c r="C21" s="8"/>
      <c r="D21" s="8"/>
      <c r="E21" s="8"/>
      <c r="F21" s="8"/>
      <c r="G21" s="81"/>
      <c r="H21" s="82"/>
      <c r="I21" s="80"/>
      <c r="J21" s="97">
        <v>2016</v>
      </c>
      <c r="K21" s="157">
        <v>60262141.58</v>
      </c>
    </row>
    <row r="22" spans="1:11" ht="15">
      <c r="A22" s="40" t="s">
        <v>26</v>
      </c>
      <c r="B22" s="8"/>
      <c r="C22" s="8"/>
      <c r="D22" s="8"/>
      <c r="E22" s="8"/>
      <c r="F22" s="8"/>
      <c r="G22" s="81"/>
      <c r="H22" s="82"/>
      <c r="I22" s="80"/>
      <c r="J22" s="97">
        <v>2017</v>
      </c>
      <c r="K22" s="157">
        <v>45433875.53</v>
      </c>
    </row>
    <row r="23" spans="1:11" ht="15">
      <c r="A23" s="40" t="s">
        <v>27</v>
      </c>
      <c r="B23" s="8"/>
      <c r="C23" s="8"/>
      <c r="D23" s="8"/>
      <c r="E23" s="8"/>
      <c r="F23" s="8"/>
      <c r="G23" s="81"/>
      <c r="H23" s="82"/>
      <c r="I23" s="80"/>
      <c r="J23" s="97">
        <v>2018</v>
      </c>
      <c r="K23" s="157">
        <v>65575707.21</v>
      </c>
    </row>
    <row r="24" spans="1:9" ht="15" hidden="1">
      <c r="A24" s="40" t="s">
        <v>28</v>
      </c>
      <c r="B24" s="8"/>
      <c r="C24" s="8"/>
      <c r="D24" s="8"/>
      <c r="E24" s="8"/>
      <c r="F24" s="8"/>
      <c r="G24" s="81"/>
      <c r="H24" s="82"/>
      <c r="I24" s="80"/>
    </row>
    <row r="25" spans="1:11" ht="15.75" thickBot="1">
      <c r="A25" s="40" t="s">
        <v>45</v>
      </c>
      <c r="B25" s="8"/>
      <c r="C25" s="8"/>
      <c r="D25" s="8"/>
      <c r="E25" s="8"/>
      <c r="F25" s="8"/>
      <c r="G25" s="81"/>
      <c r="H25" s="82"/>
      <c r="I25" s="80"/>
      <c r="K25" s="158">
        <f>SUM(K19:K24)</f>
        <v>228626295.82000002</v>
      </c>
    </row>
    <row r="26" spans="1:9" ht="15.75" thickTop="1">
      <c r="A26" s="40" t="s">
        <v>165</v>
      </c>
      <c r="B26" s="8"/>
      <c r="C26" s="8"/>
      <c r="D26" s="8"/>
      <c r="E26" s="8"/>
      <c r="F26" s="8"/>
      <c r="G26" s="81"/>
      <c r="H26" s="82"/>
      <c r="I26" s="80"/>
    </row>
    <row r="27" spans="1:9" ht="15">
      <c r="A27" s="40" t="s">
        <v>159</v>
      </c>
      <c r="B27" s="8"/>
      <c r="C27" s="8">
        <f>26216.32+12358.91+31703.57+16658.99+60000+100000+14000+14000+530378+50000+80000+60000+123158.2</f>
        <v>1118473.99</v>
      </c>
      <c r="D27" s="8"/>
      <c r="E27" s="8"/>
      <c r="F27" s="8"/>
      <c r="G27" s="81"/>
      <c r="H27" s="82"/>
      <c r="I27" s="80"/>
    </row>
    <row r="28" spans="1:9" ht="15">
      <c r="A28" s="40" t="s">
        <v>186</v>
      </c>
      <c r="B28" s="8"/>
      <c r="C28" s="8">
        <f>199750+281062.5+71910+281062.5+199750+870360+71880+270000+150000+160000+1027083.5+822875+162255.8+2978851.4</f>
        <v>7546840.699999999</v>
      </c>
      <c r="D28" s="8"/>
      <c r="E28" s="8"/>
      <c r="F28" s="8"/>
      <c r="G28" s="81"/>
      <c r="H28" s="82"/>
      <c r="I28" s="80"/>
    </row>
    <row r="29" spans="1:9" ht="15">
      <c r="A29" s="40" t="s">
        <v>176</v>
      </c>
      <c r="B29" s="8"/>
      <c r="C29" s="8">
        <f>185875+178900+195850+539930+394037+281550.5+439764</f>
        <v>2215906.5</v>
      </c>
      <c r="D29" s="8"/>
      <c r="E29" s="8"/>
      <c r="F29" s="8"/>
      <c r="G29" s="81"/>
      <c r="H29" s="82"/>
      <c r="I29" s="80"/>
    </row>
    <row r="30" spans="1:9" ht="15">
      <c r="A30" s="40" t="s">
        <v>166</v>
      </c>
      <c r="B30" s="8"/>
      <c r="C30" s="8">
        <f>11690+11690+10570+9740+19595+9825+65314.56</f>
        <v>138424.56</v>
      </c>
      <c r="D30" s="8"/>
      <c r="E30" s="8"/>
      <c r="F30" s="8"/>
      <c r="G30" s="81"/>
      <c r="H30" s="82"/>
      <c r="I30" s="80"/>
    </row>
    <row r="31" spans="1:9" ht="15">
      <c r="A31" s="40" t="s">
        <v>81</v>
      </c>
      <c r="B31" s="8"/>
      <c r="C31" s="8">
        <f>4183.18+4183.18+7670.47+4258.33+1999+4208.67+8430.03+4183.18+4698.71+4203.56+62105.59</f>
        <v>110123.9</v>
      </c>
      <c r="D31" s="8"/>
      <c r="E31" s="8"/>
      <c r="F31" s="8"/>
      <c r="G31" s="81"/>
      <c r="H31" s="82"/>
      <c r="I31" s="80"/>
    </row>
    <row r="32" spans="1:9" ht="15">
      <c r="A32" s="40" t="s">
        <v>175</v>
      </c>
      <c r="B32" s="8"/>
      <c r="C32" s="8">
        <f>1001.29+5338.14+757.8+10821.51</f>
        <v>17918.74</v>
      </c>
      <c r="D32" s="8"/>
      <c r="E32" s="8"/>
      <c r="F32" s="8"/>
      <c r="G32" s="81"/>
      <c r="H32" s="82"/>
      <c r="I32" s="80"/>
    </row>
    <row r="33" spans="1:11" ht="31.5" customHeight="1">
      <c r="A33" s="166" t="s">
        <v>204</v>
      </c>
      <c r="B33" s="8"/>
      <c r="C33" s="8">
        <f>241880+176331+7700+167975+137445+814910+189840</f>
        <v>1736081</v>
      </c>
      <c r="D33" s="8"/>
      <c r="E33" s="8"/>
      <c r="F33" s="8"/>
      <c r="G33" s="81"/>
      <c r="H33" s="82"/>
      <c r="I33" s="80"/>
      <c r="K33" s="97" t="s">
        <v>155</v>
      </c>
    </row>
    <row r="34" spans="1:9" ht="15">
      <c r="A34" s="40" t="s">
        <v>90</v>
      </c>
      <c r="B34" s="8"/>
      <c r="C34" s="8">
        <f>98200+2696600+86850</f>
        <v>2881650</v>
      </c>
      <c r="D34" s="8"/>
      <c r="E34" s="8"/>
      <c r="F34" s="8"/>
      <c r="G34" s="81"/>
      <c r="H34" s="82"/>
      <c r="I34" s="80"/>
    </row>
    <row r="35" spans="1:9" ht="15">
      <c r="A35" s="40" t="s">
        <v>91</v>
      </c>
      <c r="B35" s="8"/>
      <c r="C35" s="8">
        <f>192000+200000+427280</f>
        <v>819280</v>
      </c>
      <c r="D35" s="8"/>
      <c r="E35" s="8"/>
      <c r="F35" s="8"/>
      <c r="G35" s="81"/>
      <c r="H35" s="82"/>
      <c r="I35" s="80"/>
    </row>
    <row r="36" spans="1:9" ht="15" customHeight="1">
      <c r="A36" s="40" t="s">
        <v>169</v>
      </c>
      <c r="B36" s="8"/>
      <c r="C36" s="8">
        <f>62368.29+52638.62+133078.32+591717.73</f>
        <v>839802.96</v>
      </c>
      <c r="D36" s="8"/>
      <c r="E36" s="8"/>
      <c r="F36" s="8"/>
      <c r="G36" s="81"/>
      <c r="H36" s="82"/>
      <c r="I36" s="80"/>
    </row>
    <row r="37" spans="1:9" ht="15" customHeight="1">
      <c r="A37" s="40" t="s">
        <v>170</v>
      </c>
      <c r="B37" s="8"/>
      <c r="C37" s="8">
        <f>2679.36+4134.9</f>
        <v>6814.26</v>
      </c>
      <c r="D37" s="8"/>
      <c r="E37" s="8"/>
      <c r="F37" s="8"/>
      <c r="G37" s="81"/>
      <c r="H37" s="82"/>
      <c r="I37" s="80"/>
    </row>
    <row r="38" spans="1:9" ht="15" customHeight="1">
      <c r="A38" s="40" t="s">
        <v>182</v>
      </c>
      <c r="B38" s="8"/>
      <c r="C38" s="8">
        <f>42699.37+227056.12+2280704.3</f>
        <v>2550459.79</v>
      </c>
      <c r="D38" s="8"/>
      <c r="E38" s="8"/>
      <c r="F38" s="8"/>
      <c r="G38" s="81"/>
      <c r="H38" s="82"/>
      <c r="I38" s="80"/>
    </row>
    <row r="39" spans="1:9" ht="15" customHeight="1">
      <c r="A39" s="40" t="s">
        <v>193</v>
      </c>
      <c r="B39" s="8"/>
      <c r="C39" s="8">
        <v>2699040</v>
      </c>
      <c r="D39" s="8"/>
      <c r="E39" s="8"/>
      <c r="F39" s="8"/>
      <c r="G39" s="81"/>
      <c r="H39" s="82"/>
      <c r="I39" s="80"/>
    </row>
    <row r="40" spans="1:9" ht="15" customHeight="1">
      <c r="A40" s="40" t="s">
        <v>194</v>
      </c>
      <c r="B40" s="8"/>
      <c r="C40" s="8">
        <v>92028.3</v>
      </c>
      <c r="D40" s="8"/>
      <c r="E40" s="8"/>
      <c r="F40" s="8"/>
      <c r="G40" s="81"/>
      <c r="H40" s="82"/>
      <c r="I40" s="80"/>
    </row>
    <row r="41" spans="1:9" ht="15" customHeight="1">
      <c r="A41" s="40" t="s">
        <v>195</v>
      </c>
      <c r="B41" s="8"/>
      <c r="C41" s="8">
        <v>497709.5</v>
      </c>
      <c r="D41" s="8"/>
      <c r="E41" s="8"/>
      <c r="F41" s="8"/>
      <c r="G41" s="81"/>
      <c r="H41" s="82"/>
      <c r="I41" s="80"/>
    </row>
    <row r="42" spans="1:9" ht="15" customHeight="1">
      <c r="A42" s="40" t="s">
        <v>198</v>
      </c>
      <c r="B42" s="8"/>
      <c r="C42" s="8">
        <f>212500+101180+366326.5+3719600</f>
        <v>4399606.5</v>
      </c>
      <c r="D42" s="8"/>
      <c r="E42" s="8"/>
      <c r="F42" s="8"/>
      <c r="G42" s="81"/>
      <c r="H42" s="82"/>
      <c r="I42" s="80"/>
    </row>
    <row r="43" spans="1:9" ht="15" customHeight="1">
      <c r="A43" s="40" t="s">
        <v>199</v>
      </c>
      <c r="B43" s="8"/>
      <c r="C43" s="8">
        <f>19480+799500</f>
        <v>818980</v>
      </c>
      <c r="D43" s="8"/>
      <c r="E43" s="8"/>
      <c r="F43" s="8"/>
      <c r="G43" s="81"/>
      <c r="H43" s="82"/>
      <c r="I43" s="80"/>
    </row>
    <row r="44" spans="1:9" ht="15" customHeight="1">
      <c r="A44" s="42" t="s">
        <v>200</v>
      </c>
      <c r="B44" s="8"/>
      <c r="C44" s="8">
        <v>89682</v>
      </c>
      <c r="D44" s="8"/>
      <c r="E44" s="8"/>
      <c r="F44" s="8"/>
      <c r="G44" s="81"/>
      <c r="H44" s="82"/>
      <c r="I44" s="80"/>
    </row>
    <row r="45" spans="1:9" ht="15" customHeight="1">
      <c r="A45" s="42" t="s">
        <v>131</v>
      </c>
      <c r="B45" s="8"/>
      <c r="C45" s="8">
        <v>384822.95</v>
      </c>
      <c r="D45" s="8"/>
      <c r="E45" s="8"/>
      <c r="F45" s="8"/>
      <c r="G45" s="81"/>
      <c r="H45" s="82"/>
      <c r="I45" s="80"/>
    </row>
    <row r="46" spans="1:9" ht="15">
      <c r="A46" s="42" t="s">
        <v>201</v>
      </c>
      <c r="B46" s="8"/>
      <c r="C46" s="8"/>
      <c r="D46" s="8"/>
      <c r="E46" s="8"/>
      <c r="F46" s="8"/>
      <c r="G46" s="81"/>
      <c r="H46" s="82"/>
      <c r="I46" s="80"/>
    </row>
    <row r="47" spans="1:9" ht="15">
      <c r="A47" s="40" t="s">
        <v>179</v>
      </c>
      <c r="B47" s="8"/>
      <c r="C47" s="8">
        <v>975000</v>
      </c>
      <c r="D47" s="8"/>
      <c r="E47" s="8"/>
      <c r="F47" s="8"/>
      <c r="G47" s="81"/>
      <c r="H47" s="82"/>
      <c r="I47" s="80"/>
    </row>
    <row r="48" spans="1:9" ht="15">
      <c r="A48" s="40" t="s">
        <v>196</v>
      </c>
      <c r="B48" s="8"/>
      <c r="C48" s="8">
        <v>55000</v>
      </c>
      <c r="D48" s="8"/>
      <c r="E48" s="8"/>
      <c r="F48" s="8"/>
      <c r="G48" s="81"/>
      <c r="H48" s="82"/>
      <c r="I48" s="80"/>
    </row>
    <row r="49" spans="1:9" ht="15">
      <c r="A49" s="40" t="s">
        <v>197</v>
      </c>
      <c r="B49" s="8"/>
      <c r="C49" s="8">
        <v>125000</v>
      </c>
      <c r="D49" s="8"/>
      <c r="E49" s="8"/>
      <c r="F49" s="8"/>
      <c r="G49" s="81"/>
      <c r="H49" s="82"/>
      <c r="I49" s="80"/>
    </row>
    <row r="50" spans="1:9" ht="31.5" customHeight="1">
      <c r="A50" s="155" t="s">
        <v>187</v>
      </c>
      <c r="B50" s="8"/>
      <c r="C50" s="8">
        <v>2000000</v>
      </c>
      <c r="D50" s="8"/>
      <c r="E50" s="8"/>
      <c r="F50" s="8"/>
      <c r="G50" s="81"/>
      <c r="H50" s="82"/>
      <c r="I50" s="80"/>
    </row>
    <row r="51" spans="1:9" ht="15">
      <c r="A51" s="40" t="s">
        <v>32</v>
      </c>
      <c r="B51" s="8"/>
      <c r="C51" s="8"/>
      <c r="D51" s="8"/>
      <c r="E51" s="8"/>
      <c r="F51" s="8"/>
      <c r="G51" s="81"/>
      <c r="H51" s="82"/>
      <c r="I51" s="80"/>
    </row>
    <row r="52" spans="1:9" ht="15">
      <c r="A52" s="40" t="s">
        <v>167</v>
      </c>
      <c r="B52" s="8"/>
      <c r="C52" s="8">
        <v>9936000</v>
      </c>
      <c r="D52" s="8"/>
      <c r="E52" s="8"/>
      <c r="F52" s="8"/>
      <c r="G52" s="81"/>
      <c r="H52" s="82"/>
      <c r="I52" s="80"/>
    </row>
    <row r="53" spans="1:9" ht="15">
      <c r="A53" s="40" t="s">
        <v>172</v>
      </c>
      <c r="B53" s="8"/>
      <c r="C53" s="8">
        <v>4497000</v>
      </c>
      <c r="D53" s="8"/>
      <c r="E53" s="8"/>
      <c r="F53" s="8"/>
      <c r="G53" s="81"/>
      <c r="H53" s="82"/>
      <c r="I53" s="80"/>
    </row>
    <row r="54" spans="1:9" ht="15">
      <c r="A54" s="40" t="s">
        <v>178</v>
      </c>
      <c r="B54" s="8"/>
      <c r="C54" s="8">
        <v>3149000</v>
      </c>
      <c r="D54" s="8"/>
      <c r="E54" s="8"/>
      <c r="F54" s="8"/>
      <c r="G54" s="81"/>
      <c r="H54" s="82"/>
      <c r="I54" s="80"/>
    </row>
    <row r="55" spans="1:9" ht="15">
      <c r="A55" s="40" t="s">
        <v>181</v>
      </c>
      <c r="B55" s="8"/>
      <c r="C55" s="8">
        <v>36350</v>
      </c>
      <c r="D55" s="8"/>
      <c r="E55" s="8"/>
      <c r="F55" s="8"/>
      <c r="G55" s="81"/>
      <c r="H55" s="82"/>
      <c r="I55" s="80"/>
    </row>
    <row r="56" spans="1:9" ht="15">
      <c r="A56" s="40" t="s">
        <v>188</v>
      </c>
      <c r="B56" s="8"/>
      <c r="C56" s="8">
        <v>127906</v>
      </c>
      <c r="D56" s="8"/>
      <c r="E56" s="8"/>
      <c r="F56" s="8"/>
      <c r="G56" s="81"/>
      <c r="H56" s="82"/>
      <c r="I56" s="80"/>
    </row>
    <row r="57" spans="1:9" ht="15">
      <c r="A57" s="40" t="s">
        <v>189</v>
      </c>
      <c r="B57" s="8"/>
      <c r="C57" s="8">
        <v>418258</v>
      </c>
      <c r="D57" s="8"/>
      <c r="E57" s="8"/>
      <c r="F57" s="8"/>
      <c r="G57" s="81"/>
      <c r="H57" s="82"/>
      <c r="I57" s="80"/>
    </row>
    <row r="58" spans="1:9" ht="15">
      <c r="A58" s="40" t="s">
        <v>190</v>
      </c>
      <c r="B58" s="8"/>
      <c r="C58" s="8">
        <v>2468100</v>
      </c>
      <c r="D58" s="8"/>
      <c r="E58" s="8"/>
      <c r="F58" s="8"/>
      <c r="G58" s="81"/>
      <c r="H58" s="82"/>
      <c r="I58" s="80"/>
    </row>
    <row r="59" spans="1:9" ht="15">
      <c r="A59" s="40" t="s">
        <v>191</v>
      </c>
      <c r="B59" s="8"/>
      <c r="C59" s="8">
        <v>149800</v>
      </c>
      <c r="D59" s="8"/>
      <c r="E59" s="8"/>
      <c r="F59" s="8"/>
      <c r="G59" s="81"/>
      <c r="H59" s="82"/>
      <c r="I59" s="80"/>
    </row>
    <row r="60" spans="1:9" ht="15">
      <c r="A60" s="40" t="s">
        <v>192</v>
      </c>
      <c r="B60" s="8"/>
      <c r="C60" s="8">
        <v>1108800</v>
      </c>
      <c r="D60" s="8"/>
      <c r="E60" s="8"/>
      <c r="F60" s="8"/>
      <c r="G60" s="81"/>
      <c r="H60" s="82"/>
      <c r="I60" s="80"/>
    </row>
    <row r="61" spans="1:9" ht="15">
      <c r="A61" s="40" t="s">
        <v>183</v>
      </c>
      <c r="B61" s="8"/>
      <c r="C61" s="8">
        <v>117500</v>
      </c>
      <c r="D61" s="8"/>
      <c r="E61" s="8"/>
      <c r="F61" s="8"/>
      <c r="G61" s="81"/>
      <c r="H61" s="82"/>
      <c r="I61" s="80"/>
    </row>
    <row r="62" spans="1:9" ht="15">
      <c r="A62" s="40" t="s">
        <v>33</v>
      </c>
      <c r="B62" s="8"/>
      <c r="C62" s="8"/>
      <c r="D62" s="8"/>
      <c r="E62" s="8"/>
      <c r="F62" s="8"/>
      <c r="G62" s="81"/>
      <c r="H62" s="82"/>
      <c r="I62" s="80"/>
    </row>
    <row r="63" spans="1:9" ht="15">
      <c r="A63" s="40" t="s">
        <v>202</v>
      </c>
      <c r="B63" s="8"/>
      <c r="C63" s="8"/>
      <c r="D63" s="8"/>
      <c r="E63" s="8"/>
      <c r="F63" s="8"/>
      <c r="G63" s="81"/>
      <c r="H63" s="82"/>
      <c r="I63" s="80"/>
    </row>
    <row r="64" spans="1:9" ht="15">
      <c r="A64" s="39" t="s">
        <v>35</v>
      </c>
      <c r="B64" s="86">
        <f>+SUM(B20:B63)</f>
        <v>0</v>
      </c>
      <c r="C64" s="86">
        <f>+SUM(C20:C63)</f>
        <v>54127359.650000006</v>
      </c>
      <c r="D64" s="8"/>
      <c r="E64" s="8"/>
      <c r="F64" s="8"/>
      <c r="G64" s="89"/>
      <c r="H64" s="82"/>
      <c r="I64" s="80"/>
    </row>
    <row r="65" spans="1:9" ht="15.75" thickBot="1">
      <c r="A65" s="44" t="s">
        <v>36</v>
      </c>
      <c r="B65" s="90">
        <f>+B19-B64</f>
        <v>49141335.6</v>
      </c>
      <c r="C65" s="90">
        <f>+C19-C64</f>
        <v>357441521.07000005</v>
      </c>
      <c r="D65" s="91"/>
      <c r="E65" s="91"/>
      <c r="F65" s="91"/>
      <c r="G65" s="92">
        <f>+G19</f>
        <v>460710216.32000005</v>
      </c>
      <c r="H65" s="82"/>
      <c r="I65" s="80"/>
    </row>
    <row r="66" spans="1:9" ht="15">
      <c r="A66" s="20"/>
      <c r="B66" s="159"/>
      <c r="C66" s="159"/>
      <c r="D66" s="160"/>
      <c r="E66" s="160"/>
      <c r="F66" s="160"/>
      <c r="G66" s="159"/>
      <c r="H66" s="160"/>
      <c r="I66" s="161"/>
    </row>
    <row r="67" spans="1:9" ht="15">
      <c r="A67" s="162" t="s">
        <v>151</v>
      </c>
      <c r="B67" s="159"/>
      <c r="C67" s="159"/>
      <c r="D67" s="160"/>
      <c r="E67" s="160"/>
      <c r="F67" s="160"/>
      <c r="G67" s="159"/>
      <c r="H67" s="160"/>
      <c r="I67" s="161"/>
    </row>
    <row r="68" spans="1:7" ht="15">
      <c r="A68" s="162"/>
      <c r="D68" s="162"/>
      <c r="E68" s="162"/>
      <c r="F68" s="162"/>
      <c r="G68" s="162"/>
    </row>
    <row r="69" spans="4:7" ht="15">
      <c r="D69" s="162"/>
      <c r="E69" s="162"/>
      <c r="F69" s="162"/>
      <c r="G69" s="162"/>
    </row>
    <row r="70" spans="1:7" ht="15">
      <c r="A70" s="23" t="s">
        <v>147</v>
      </c>
      <c r="C70" s="162"/>
      <c r="D70" s="162"/>
      <c r="E70" s="162"/>
      <c r="F70" s="162"/>
      <c r="G70" s="162"/>
    </row>
    <row r="71" spans="1:7" ht="15">
      <c r="A71" s="23" t="s">
        <v>148</v>
      </c>
      <c r="C71" s="162"/>
      <c r="D71" s="162"/>
      <c r="E71" s="162"/>
      <c r="F71" s="162"/>
      <c r="G71" s="162"/>
    </row>
    <row r="72" spans="3:7" ht="15">
      <c r="C72" s="162"/>
      <c r="D72" s="162"/>
      <c r="E72" s="162"/>
      <c r="F72" s="162"/>
      <c r="G72" s="162"/>
    </row>
    <row r="73" ht="14.25" customHeight="1"/>
    <row r="74" ht="14.25" customHeight="1"/>
    <row r="75" spans="2:11" ht="15" customHeight="1">
      <c r="B75" s="161"/>
      <c r="C75" s="161"/>
      <c r="F75" s="225" t="s">
        <v>70</v>
      </c>
      <c r="G75" s="226"/>
      <c r="H75" s="163"/>
      <c r="I75" s="163"/>
      <c r="K75" s="97" t="s">
        <v>41</v>
      </c>
    </row>
    <row r="76" spans="2:11" ht="15" customHeight="1">
      <c r="B76" s="223"/>
      <c r="C76" s="223"/>
      <c r="F76" s="224" t="s">
        <v>156</v>
      </c>
      <c r="G76" s="224"/>
      <c r="H76" s="164"/>
      <c r="I76" s="164"/>
      <c r="K76" s="97" t="s">
        <v>150</v>
      </c>
    </row>
    <row r="77" spans="2:9" ht="15" customHeight="1">
      <c r="B77" s="223"/>
      <c r="C77" s="223"/>
      <c r="F77" s="224"/>
      <c r="G77" s="224"/>
      <c r="H77" s="164"/>
      <c r="I77" s="164"/>
    </row>
    <row r="78" spans="1:9" s="117" customFormat="1" ht="15">
      <c r="A78" s="97"/>
      <c r="B78" s="97"/>
      <c r="C78" s="157"/>
      <c r="D78" s="97"/>
      <c r="E78" s="97"/>
      <c r="F78" s="97"/>
      <c r="G78" s="97"/>
      <c r="H78" s="97"/>
      <c r="I78" s="97"/>
    </row>
    <row r="79" ht="15">
      <c r="C79" s="165"/>
    </row>
    <row r="80" spans="1:9" s="117" customFormat="1" ht="15">
      <c r="A80" s="97"/>
      <c r="B80" s="97"/>
      <c r="C80" s="157"/>
      <c r="D80" s="97"/>
      <c r="E80" s="97"/>
      <c r="H80" s="97"/>
      <c r="I80" s="97"/>
    </row>
    <row r="81" spans="1:9" s="117" customFormat="1" ht="15">
      <c r="A81" s="97"/>
      <c r="B81" s="97"/>
      <c r="C81" s="157">
        <v>54127359.65</v>
      </c>
      <c r="D81" s="97"/>
      <c r="E81" s="97"/>
      <c r="H81" s="97"/>
      <c r="I81" s="97"/>
    </row>
    <row r="82" ht="15">
      <c r="C82" s="157">
        <f>+C64-C81</f>
        <v>0</v>
      </c>
    </row>
  </sheetData>
  <sheetProtection/>
  <mergeCells count="17">
    <mergeCell ref="B77:C77"/>
    <mergeCell ref="F77:G77"/>
    <mergeCell ref="C14:C16"/>
    <mergeCell ref="G14:G16"/>
    <mergeCell ref="F75:G75"/>
    <mergeCell ref="B76:C76"/>
    <mergeCell ref="F76:G76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 verticalCentered="1"/>
  <pageMargins left="0.25" right="0.25" top="0.75" bottom="0.75" header="0.3" footer="0.3"/>
  <pageSetup fitToHeight="0" fitToWidth="0" horizontalDpi="360" verticalDpi="360" orientation="portrait" paperSize="9" scale="6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pane ySplit="10" topLeftCell="A11" activePane="bottomLeft" state="frozen"/>
      <selection pane="topLeft" activeCell="C20" sqref="C20"/>
      <selection pane="bottomLeft" activeCell="C20" sqref="C20"/>
    </sheetView>
  </sheetViews>
  <sheetFormatPr defaultColWidth="9.140625" defaultRowHeight="15"/>
  <cols>
    <col min="1" max="1" width="64.00390625" style="97" customWidth="1"/>
    <col min="2" max="3" width="16.00390625" style="97" customWidth="1"/>
    <col min="4" max="4" width="13.28125" style="97" bestFit="1" customWidth="1"/>
    <col min="5" max="5" width="14.57421875" style="97" customWidth="1"/>
    <col min="6" max="6" width="9.7109375" style="97" customWidth="1"/>
    <col min="7" max="7" width="16.421875" style="97" customWidth="1"/>
    <col min="8" max="8" width="17.57421875" style="97" hidden="1" customWidth="1"/>
    <col min="9" max="9" width="12.8515625" style="97" hidden="1" customWidth="1"/>
    <col min="10" max="10" width="9.140625" style="97" customWidth="1"/>
    <col min="11" max="11" width="21.421875" style="97" customWidth="1"/>
    <col min="12" max="16384" width="9.140625" style="97" customWidth="1"/>
  </cols>
  <sheetData>
    <row r="1" ht="15">
      <c r="A1" s="97" t="s">
        <v>0</v>
      </c>
    </row>
    <row r="2" ht="15">
      <c r="A2" s="97" t="s">
        <v>1</v>
      </c>
    </row>
    <row r="3" spans="1:9" ht="15">
      <c r="A3" s="222" t="s">
        <v>2</v>
      </c>
      <c r="B3" s="222"/>
      <c r="C3" s="222"/>
      <c r="D3" s="222"/>
      <c r="E3" s="222"/>
      <c r="F3" s="222"/>
      <c r="G3" s="222"/>
      <c r="H3" s="222"/>
      <c r="I3" s="222"/>
    </row>
    <row r="4" spans="1:9" ht="15">
      <c r="A4" s="222" t="s">
        <v>205</v>
      </c>
      <c r="B4" s="222"/>
      <c r="C4" s="222"/>
      <c r="D4" s="222"/>
      <c r="E4" s="222"/>
      <c r="F4" s="222"/>
      <c r="G4" s="222"/>
      <c r="H4" s="222"/>
      <c r="I4" s="222"/>
    </row>
    <row r="5" spans="1:9" ht="15">
      <c r="A5" s="222" t="s">
        <v>3</v>
      </c>
      <c r="B5" s="222"/>
      <c r="C5" s="222"/>
      <c r="D5" s="222"/>
      <c r="E5" s="222"/>
      <c r="F5" s="222"/>
      <c r="G5" s="222"/>
      <c r="H5" s="222"/>
      <c r="I5" s="222"/>
    </row>
    <row r="7" ht="9" customHeight="1" thickBot="1"/>
    <row r="8" spans="1:9" ht="21" customHeight="1">
      <c r="A8" s="208" t="s">
        <v>4</v>
      </c>
      <c r="B8" s="211" t="s">
        <v>5</v>
      </c>
      <c r="C8" s="212"/>
      <c r="D8" s="208" t="s">
        <v>6</v>
      </c>
      <c r="E8" s="208" t="s">
        <v>11</v>
      </c>
      <c r="F8" s="208" t="s">
        <v>40</v>
      </c>
      <c r="G8" s="213" t="s">
        <v>12</v>
      </c>
      <c r="H8" s="184" t="s">
        <v>7</v>
      </c>
      <c r="I8" s="1" t="s">
        <v>8</v>
      </c>
    </row>
    <row r="9" spans="1:9" ht="31.5" customHeight="1">
      <c r="A9" s="209"/>
      <c r="B9" s="70" t="s">
        <v>9</v>
      </c>
      <c r="C9" s="71" t="s">
        <v>10</v>
      </c>
      <c r="D9" s="209"/>
      <c r="E9" s="209"/>
      <c r="F9" s="209"/>
      <c r="G9" s="214"/>
      <c r="H9" s="185"/>
      <c r="I9" s="72"/>
    </row>
    <row r="10" spans="1:9" ht="20.25" customHeight="1" thickBot="1">
      <c r="A10" s="210"/>
      <c r="B10" s="73">
        <v>0.3</v>
      </c>
      <c r="C10" s="74">
        <v>0.7</v>
      </c>
      <c r="D10" s="210"/>
      <c r="E10" s="210"/>
      <c r="F10" s="210"/>
      <c r="G10" s="215"/>
      <c r="H10" s="75" t="s">
        <v>13</v>
      </c>
      <c r="I10" s="76"/>
    </row>
    <row r="11" spans="1:12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117">
        <v>3276089043</v>
      </c>
      <c r="L11" s="150" t="s">
        <v>154</v>
      </c>
    </row>
    <row r="12" spans="1:12" ht="15">
      <c r="A12" s="40" t="s">
        <v>68</v>
      </c>
      <c r="B12" s="8">
        <v>59793170</v>
      </c>
      <c r="C12" s="8">
        <v>132517396</v>
      </c>
      <c r="D12" s="8"/>
      <c r="E12" s="8"/>
      <c r="F12" s="8"/>
      <c r="G12" s="81">
        <f>+B12+C12</f>
        <v>192310566</v>
      </c>
      <c r="H12" s="82"/>
      <c r="I12" s="80"/>
      <c r="K12" s="117">
        <v>189310566</v>
      </c>
      <c r="L12" s="156">
        <v>0.05</v>
      </c>
    </row>
    <row r="13" spans="1:12" ht="15">
      <c r="A13" s="40" t="s">
        <v>146</v>
      </c>
      <c r="B13" s="8"/>
      <c r="C13" s="8">
        <v>132712512.25</v>
      </c>
      <c r="D13" s="8"/>
      <c r="E13" s="8"/>
      <c r="F13" s="8"/>
      <c r="G13" s="81">
        <f>+C13</f>
        <v>132712512.25</v>
      </c>
      <c r="H13" s="82"/>
      <c r="I13" s="80"/>
      <c r="K13" s="117">
        <f>+K12*0.7</f>
        <v>132517396.19999999</v>
      </c>
      <c r="L13" s="97">
        <v>70</v>
      </c>
    </row>
    <row r="14" spans="1:12" ht="15">
      <c r="A14" s="41" t="s">
        <v>17</v>
      </c>
      <c r="C14" s="189">
        <f>+K26</f>
        <v>272679156.67</v>
      </c>
      <c r="D14" s="10"/>
      <c r="E14" s="83"/>
      <c r="F14" s="83"/>
      <c r="G14" s="192">
        <f>+C14</f>
        <v>272679156.67</v>
      </c>
      <c r="H14" s="82"/>
      <c r="I14" s="80"/>
      <c r="K14" s="117">
        <f>+K12*0.3</f>
        <v>56793169.8</v>
      </c>
      <c r="L14" s="97">
        <v>30</v>
      </c>
    </row>
    <row r="15" spans="1:9" ht="15">
      <c r="A15" s="41" t="s">
        <v>18</v>
      </c>
      <c r="C15" s="190"/>
      <c r="D15" s="83"/>
      <c r="E15" s="83"/>
      <c r="F15" s="83"/>
      <c r="G15" s="193">
        <v>0</v>
      </c>
      <c r="H15" s="82"/>
      <c r="I15" s="80"/>
    </row>
    <row r="16" spans="1:9" ht="15">
      <c r="A16" s="41" t="s">
        <v>149</v>
      </c>
      <c r="C16" s="190"/>
      <c r="D16" s="83"/>
      <c r="E16" s="83"/>
      <c r="F16" s="83"/>
      <c r="G16" s="193">
        <v>0</v>
      </c>
      <c r="H16" s="82"/>
      <c r="I16" s="80"/>
    </row>
    <row r="17" spans="1:9" ht="15">
      <c r="A17" s="42" t="s">
        <v>21</v>
      </c>
      <c r="B17" s="84"/>
      <c r="C17" s="84"/>
      <c r="D17" s="84"/>
      <c r="E17" s="84"/>
      <c r="F17" s="84"/>
      <c r="G17" s="85"/>
      <c r="H17" s="82"/>
      <c r="I17" s="80"/>
    </row>
    <row r="18" spans="1:9" ht="15" hidden="1">
      <c r="A18" s="40" t="s">
        <v>22</v>
      </c>
      <c r="B18" s="8"/>
      <c r="C18" s="8"/>
      <c r="D18" s="8"/>
      <c r="E18" s="8"/>
      <c r="F18" s="8"/>
      <c r="G18" s="81"/>
      <c r="H18" s="82"/>
      <c r="I18" s="80"/>
    </row>
    <row r="19" spans="1:11" ht="15">
      <c r="A19" s="39" t="s">
        <v>23</v>
      </c>
      <c r="B19" s="86">
        <f>SUM(B12:B18)</f>
        <v>59793170</v>
      </c>
      <c r="C19" s="86">
        <f>SUM(C12:C18)</f>
        <v>537909064.9200001</v>
      </c>
      <c r="D19" s="8"/>
      <c r="E19" s="8"/>
      <c r="F19" s="8"/>
      <c r="G19" s="81">
        <f>SUM(B19:F19)</f>
        <v>597702234.9200001</v>
      </c>
      <c r="H19" s="82"/>
      <c r="I19" s="80"/>
      <c r="J19" s="97">
        <v>2014</v>
      </c>
      <c r="K19" s="157">
        <v>25751090</v>
      </c>
    </row>
    <row r="20" spans="1:11" ht="15">
      <c r="A20" s="39" t="s">
        <v>24</v>
      </c>
      <c r="B20" s="8"/>
      <c r="C20" s="8"/>
      <c r="D20" s="8"/>
      <c r="E20" s="8"/>
      <c r="F20" s="8"/>
      <c r="G20" s="81"/>
      <c r="H20" s="82"/>
      <c r="I20" s="80"/>
      <c r="J20" s="97">
        <v>2015</v>
      </c>
      <c r="K20" s="157">
        <v>31603481.5</v>
      </c>
    </row>
    <row r="21" spans="1:11" ht="15">
      <c r="A21" s="40" t="s">
        <v>25</v>
      </c>
      <c r="B21" s="8"/>
      <c r="C21" s="8"/>
      <c r="D21" s="8"/>
      <c r="E21" s="8"/>
      <c r="F21" s="8"/>
      <c r="G21" s="81"/>
      <c r="H21" s="82"/>
      <c r="I21" s="80"/>
      <c r="J21" s="97">
        <v>2016</v>
      </c>
      <c r="K21" s="157">
        <v>60262141.58</v>
      </c>
    </row>
    <row r="22" spans="1:11" ht="15">
      <c r="A22" s="40" t="s">
        <v>26</v>
      </c>
      <c r="B22" s="8"/>
      <c r="C22" s="8"/>
      <c r="D22" s="8"/>
      <c r="E22" s="8"/>
      <c r="F22" s="8"/>
      <c r="G22" s="81"/>
      <c r="H22" s="82"/>
      <c r="I22" s="80"/>
      <c r="J22" s="97">
        <v>2017</v>
      </c>
      <c r="K22" s="157">
        <v>45433875.53</v>
      </c>
    </row>
    <row r="23" spans="1:11" ht="15">
      <c r="A23" s="40" t="s">
        <v>27</v>
      </c>
      <c r="B23" s="8"/>
      <c r="C23" s="8"/>
      <c r="D23" s="8"/>
      <c r="E23" s="8"/>
      <c r="F23" s="8"/>
      <c r="G23" s="81"/>
      <c r="H23" s="82"/>
      <c r="I23" s="80"/>
      <c r="J23" s="97">
        <v>2018</v>
      </c>
      <c r="K23" s="157">
        <v>65575707.21</v>
      </c>
    </row>
    <row r="24" spans="1:9" ht="15" hidden="1">
      <c r="A24" s="40" t="s">
        <v>28</v>
      </c>
      <c r="B24" s="8"/>
      <c r="C24" s="8"/>
      <c r="D24" s="8"/>
      <c r="E24" s="8"/>
      <c r="F24" s="8"/>
      <c r="G24" s="81"/>
      <c r="H24" s="82"/>
      <c r="I24" s="80"/>
    </row>
    <row r="25" spans="1:11" ht="15">
      <c r="A25" s="40" t="s">
        <v>45</v>
      </c>
      <c r="B25" s="8"/>
      <c r="C25" s="8"/>
      <c r="D25" s="8"/>
      <c r="E25" s="8"/>
      <c r="F25" s="8"/>
      <c r="G25" s="81"/>
      <c r="H25" s="82"/>
      <c r="I25" s="80"/>
      <c r="J25" s="97">
        <v>2019</v>
      </c>
      <c r="K25" s="157">
        <v>69803950.85</v>
      </c>
    </row>
    <row r="26" spans="1:11" ht="15.75" thickBot="1">
      <c r="A26" s="40" t="s">
        <v>165</v>
      </c>
      <c r="B26" s="8"/>
      <c r="C26" s="8"/>
      <c r="D26" s="8"/>
      <c r="E26" s="8"/>
      <c r="F26" s="8"/>
      <c r="G26" s="81"/>
      <c r="H26" s="82"/>
      <c r="I26" s="80"/>
      <c r="K26" s="158">
        <f>SUM(K20:K25)</f>
        <v>272679156.67</v>
      </c>
    </row>
    <row r="27" spans="1:9" ht="15.75" thickTop="1">
      <c r="A27" s="40" t="s">
        <v>159</v>
      </c>
      <c r="B27" s="8"/>
      <c r="C27" s="8"/>
      <c r="D27" s="8"/>
      <c r="E27" s="8"/>
      <c r="F27" s="8"/>
      <c r="G27" s="81"/>
      <c r="H27" s="82"/>
      <c r="I27" s="80"/>
    </row>
    <row r="28" spans="1:9" ht="15">
      <c r="A28" s="40" t="s">
        <v>186</v>
      </c>
      <c r="B28" s="8"/>
      <c r="C28" s="8"/>
      <c r="D28" s="8"/>
      <c r="E28" s="8"/>
      <c r="F28" s="8"/>
      <c r="G28" s="81"/>
      <c r="H28" s="82"/>
      <c r="I28" s="80"/>
    </row>
    <row r="29" spans="1:9" ht="15">
      <c r="A29" s="40" t="s">
        <v>176</v>
      </c>
      <c r="B29" s="8"/>
      <c r="C29" s="8"/>
      <c r="D29" s="8"/>
      <c r="E29" s="8"/>
      <c r="F29" s="8"/>
      <c r="G29" s="81"/>
      <c r="H29" s="82"/>
      <c r="I29" s="80"/>
    </row>
    <row r="30" spans="1:9" ht="15">
      <c r="A30" s="40" t="s">
        <v>166</v>
      </c>
      <c r="B30" s="8"/>
      <c r="C30" s="8"/>
      <c r="D30" s="8"/>
      <c r="E30" s="8"/>
      <c r="F30" s="8"/>
      <c r="G30" s="81"/>
      <c r="H30" s="82"/>
      <c r="I30" s="80"/>
    </row>
    <row r="31" spans="1:9" ht="15">
      <c r="A31" s="40" t="s">
        <v>81</v>
      </c>
      <c r="B31" s="8"/>
      <c r="C31" s="8"/>
      <c r="D31" s="8"/>
      <c r="E31" s="8"/>
      <c r="F31" s="8"/>
      <c r="G31" s="81"/>
      <c r="H31" s="82"/>
      <c r="I31" s="80"/>
    </row>
    <row r="32" spans="1:9" ht="15">
      <c r="A32" s="40" t="s">
        <v>175</v>
      </c>
      <c r="B32" s="8"/>
      <c r="C32" s="8"/>
      <c r="D32" s="8"/>
      <c r="E32" s="8"/>
      <c r="F32" s="8"/>
      <c r="G32" s="81"/>
      <c r="H32" s="82"/>
      <c r="I32" s="80"/>
    </row>
    <row r="33" spans="1:11" ht="15">
      <c r="A33" s="40" t="s">
        <v>90</v>
      </c>
      <c r="B33" s="8"/>
      <c r="C33" s="8"/>
      <c r="D33" s="8"/>
      <c r="E33" s="8"/>
      <c r="F33" s="8"/>
      <c r="G33" s="81"/>
      <c r="H33" s="82"/>
      <c r="I33" s="80"/>
      <c r="K33" s="97" t="s">
        <v>155</v>
      </c>
    </row>
    <row r="34" spans="1:9" ht="15">
      <c r="A34" s="40" t="s">
        <v>91</v>
      </c>
      <c r="B34" s="8"/>
      <c r="C34" s="8"/>
      <c r="D34" s="8"/>
      <c r="E34" s="8"/>
      <c r="F34" s="8"/>
      <c r="G34" s="81"/>
      <c r="H34" s="82"/>
      <c r="I34" s="80"/>
    </row>
    <row r="35" spans="1:9" ht="15" customHeight="1">
      <c r="A35" s="40" t="s">
        <v>169</v>
      </c>
      <c r="B35" s="8"/>
      <c r="C35" s="8"/>
      <c r="D35" s="8"/>
      <c r="E35" s="8"/>
      <c r="F35" s="8"/>
      <c r="G35" s="81"/>
      <c r="H35" s="82"/>
      <c r="I35" s="80"/>
    </row>
    <row r="36" spans="1:9" ht="15" customHeight="1">
      <c r="A36" s="40" t="s">
        <v>170</v>
      </c>
      <c r="B36" s="8"/>
      <c r="C36" s="8"/>
      <c r="D36" s="8"/>
      <c r="E36" s="8"/>
      <c r="F36" s="8"/>
      <c r="G36" s="81"/>
      <c r="H36" s="82"/>
      <c r="I36" s="80"/>
    </row>
    <row r="37" spans="1:9" ht="15" customHeight="1">
      <c r="A37" s="40" t="s">
        <v>182</v>
      </c>
      <c r="B37" s="8"/>
      <c r="C37" s="8"/>
      <c r="D37" s="8"/>
      <c r="E37" s="8"/>
      <c r="F37" s="8"/>
      <c r="G37" s="81"/>
      <c r="H37" s="82"/>
      <c r="I37" s="80"/>
    </row>
    <row r="38" spans="1:9" ht="15" customHeight="1">
      <c r="A38" s="40" t="s">
        <v>193</v>
      </c>
      <c r="B38" s="8"/>
      <c r="C38" s="8"/>
      <c r="D38" s="8"/>
      <c r="E38" s="8"/>
      <c r="F38" s="8"/>
      <c r="G38" s="81"/>
      <c r="H38" s="82"/>
      <c r="I38" s="80"/>
    </row>
    <row r="39" spans="1:9" ht="15" customHeight="1">
      <c r="A39" s="40" t="s">
        <v>194</v>
      </c>
      <c r="B39" s="8"/>
      <c r="C39" s="8"/>
      <c r="D39" s="8"/>
      <c r="E39" s="8"/>
      <c r="F39" s="8"/>
      <c r="G39" s="81"/>
      <c r="H39" s="82"/>
      <c r="I39" s="80"/>
    </row>
    <row r="40" spans="1:9" ht="15" customHeight="1">
      <c r="A40" s="40" t="s">
        <v>195</v>
      </c>
      <c r="B40" s="8"/>
      <c r="C40" s="8"/>
      <c r="D40" s="8"/>
      <c r="E40" s="8"/>
      <c r="F40" s="8"/>
      <c r="G40" s="81"/>
      <c r="H40" s="82"/>
      <c r="I40" s="80"/>
    </row>
    <row r="41" spans="1:9" ht="15" customHeight="1">
      <c r="A41" s="40" t="s">
        <v>198</v>
      </c>
      <c r="B41" s="8"/>
      <c r="C41" s="8"/>
      <c r="D41" s="8"/>
      <c r="E41" s="8"/>
      <c r="F41" s="8"/>
      <c r="G41" s="81"/>
      <c r="H41" s="82"/>
      <c r="I41" s="80"/>
    </row>
    <row r="42" spans="1:9" ht="15" customHeight="1">
      <c r="A42" s="40" t="s">
        <v>199</v>
      </c>
      <c r="B42" s="8"/>
      <c r="C42" s="8"/>
      <c r="D42" s="8"/>
      <c r="E42" s="8"/>
      <c r="F42" s="8"/>
      <c r="G42" s="81"/>
      <c r="H42" s="82"/>
      <c r="I42" s="80"/>
    </row>
    <row r="43" spans="1:9" ht="15">
      <c r="A43" s="40" t="s">
        <v>32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40" t="s">
        <v>33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40" t="s">
        <v>202</v>
      </c>
      <c r="B45" s="8"/>
      <c r="C45" s="8"/>
      <c r="D45" s="8"/>
      <c r="E45" s="8"/>
      <c r="F45" s="8"/>
      <c r="G45" s="81"/>
      <c r="H45" s="82"/>
      <c r="I45" s="80"/>
    </row>
    <row r="46" spans="1:9" ht="15">
      <c r="A46" s="39" t="s">
        <v>35</v>
      </c>
      <c r="B46" s="86">
        <f>+SUM(B20:B45)</f>
        <v>0</v>
      </c>
      <c r="C46" s="86">
        <f>+SUM(C20:C45)</f>
        <v>0</v>
      </c>
      <c r="D46" s="8"/>
      <c r="E46" s="8"/>
      <c r="F46" s="8"/>
      <c r="G46" s="89"/>
      <c r="H46" s="82"/>
      <c r="I46" s="80"/>
    </row>
    <row r="47" spans="1:9" ht="15.75" thickBot="1">
      <c r="A47" s="44" t="s">
        <v>36</v>
      </c>
      <c r="B47" s="90">
        <f>+B19-B46</f>
        <v>59793170</v>
      </c>
      <c r="C47" s="90">
        <f>+C19-C46</f>
        <v>537909064.9200001</v>
      </c>
      <c r="D47" s="91"/>
      <c r="E47" s="91"/>
      <c r="F47" s="91"/>
      <c r="G47" s="92">
        <f>+G19</f>
        <v>597702234.9200001</v>
      </c>
      <c r="H47" s="82"/>
      <c r="I47" s="80"/>
    </row>
    <row r="48" spans="1:9" ht="15">
      <c r="A48" s="20"/>
      <c r="B48" s="159"/>
      <c r="C48" s="159"/>
      <c r="D48" s="160"/>
      <c r="E48" s="160"/>
      <c r="F48" s="160"/>
      <c r="G48" s="159"/>
      <c r="H48" s="160"/>
      <c r="I48" s="161"/>
    </row>
    <row r="49" spans="1:9" ht="15">
      <c r="A49" s="162" t="s">
        <v>151</v>
      </c>
      <c r="B49" s="159"/>
      <c r="C49" s="159"/>
      <c r="D49" s="160"/>
      <c r="E49" s="160"/>
      <c r="F49" s="160"/>
      <c r="G49" s="159"/>
      <c r="H49" s="160"/>
      <c r="I49" s="161"/>
    </row>
    <row r="50" spans="1:7" ht="15">
      <c r="A50" s="162"/>
      <c r="D50" s="162"/>
      <c r="E50" s="162"/>
      <c r="F50" s="162"/>
      <c r="G50" s="162"/>
    </row>
    <row r="51" spans="4:7" ht="15">
      <c r="D51" s="162"/>
      <c r="E51" s="162"/>
      <c r="F51" s="162"/>
      <c r="G51" s="162"/>
    </row>
    <row r="52" spans="1:7" ht="15">
      <c r="A52" s="23" t="s">
        <v>207</v>
      </c>
      <c r="C52" s="162"/>
      <c r="D52" s="162"/>
      <c r="E52" s="162"/>
      <c r="F52" s="162"/>
      <c r="G52" s="162"/>
    </row>
    <row r="53" spans="1:7" ht="15">
      <c r="A53" s="23" t="s">
        <v>206</v>
      </c>
      <c r="C53" s="162"/>
      <c r="D53" s="162"/>
      <c r="E53" s="162"/>
      <c r="F53" s="162"/>
      <c r="G53" s="162"/>
    </row>
    <row r="54" spans="3:7" ht="15">
      <c r="C54" s="162"/>
      <c r="D54" s="162"/>
      <c r="E54" s="162"/>
      <c r="F54" s="162"/>
      <c r="G54" s="162"/>
    </row>
    <row r="55" ht="14.25" customHeight="1"/>
    <row r="56" ht="14.25" customHeight="1"/>
    <row r="57" spans="2:9" ht="15" customHeight="1">
      <c r="B57" s="161"/>
      <c r="C57" s="161"/>
      <c r="F57" s="225" t="s">
        <v>70</v>
      </c>
      <c r="G57" s="226"/>
      <c r="H57" s="163"/>
      <c r="I57" s="163"/>
    </row>
    <row r="58" spans="2:11" ht="15" customHeight="1">
      <c r="B58" s="223"/>
      <c r="C58" s="223"/>
      <c r="F58" s="224" t="s">
        <v>156</v>
      </c>
      <c r="G58" s="224"/>
      <c r="H58" s="164"/>
      <c r="I58" s="164"/>
      <c r="K58" s="97" t="s">
        <v>41</v>
      </c>
    </row>
    <row r="59" spans="2:11" ht="15" customHeight="1">
      <c r="B59" s="223"/>
      <c r="C59" s="223"/>
      <c r="F59" s="224"/>
      <c r="G59" s="224"/>
      <c r="H59" s="164"/>
      <c r="I59" s="164"/>
      <c r="K59" s="97" t="s">
        <v>150</v>
      </c>
    </row>
    <row r="60" spans="1:11" s="117" customFormat="1" ht="15">
      <c r="A60" s="97"/>
      <c r="B60" s="97"/>
      <c r="C60" s="157"/>
      <c r="D60" s="97"/>
      <c r="E60" s="97"/>
      <c r="F60" s="97"/>
      <c r="G60" s="97"/>
      <c r="H60" s="97"/>
      <c r="I60" s="97"/>
      <c r="K60" s="97"/>
    </row>
    <row r="61" spans="3:11" ht="15">
      <c r="C61" s="165"/>
      <c r="K61" s="117"/>
    </row>
    <row r="62" spans="1:11" s="117" customFormat="1" ht="15">
      <c r="A62" s="97"/>
      <c r="B62" s="97"/>
      <c r="C62" s="157"/>
      <c r="D62" s="97"/>
      <c r="E62" s="97"/>
      <c r="H62" s="97"/>
      <c r="I62" s="97"/>
      <c r="K62" s="97"/>
    </row>
    <row r="63" spans="1:9" s="117" customFormat="1" ht="15">
      <c r="A63" s="97"/>
      <c r="B63" s="97"/>
      <c r="C63" s="157">
        <v>54127359.65</v>
      </c>
      <c r="D63" s="97"/>
      <c r="E63" s="97"/>
      <c r="H63" s="97"/>
      <c r="I63" s="97"/>
    </row>
    <row r="64" spans="3:11" ht="15">
      <c r="C64" s="157">
        <f>+C46-C63</f>
        <v>-54127359.65</v>
      </c>
      <c r="K64" s="117"/>
    </row>
  </sheetData>
  <sheetProtection/>
  <mergeCells count="17">
    <mergeCell ref="C14:C16"/>
    <mergeCell ref="G14:G16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F57:G57"/>
    <mergeCell ref="B58:C58"/>
    <mergeCell ref="F58:G58"/>
    <mergeCell ref="B59:C59"/>
    <mergeCell ref="F59:G59"/>
  </mergeCells>
  <printOptions horizontalCentered="1"/>
  <pageMargins left="0.25" right="0.25" top="0.75" bottom="0.75" header="0.3" footer="0.3"/>
  <pageSetup fitToHeight="0" fitToWidth="0" horizontalDpi="360" verticalDpi="360" orientation="portrait" paperSize="9" scale="6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pane ySplit="10" topLeftCell="A44" activePane="bottomLeft" state="frozen"/>
      <selection pane="topLeft" activeCell="A1" sqref="A1"/>
      <selection pane="bottomLeft" activeCell="A57" sqref="A57"/>
    </sheetView>
  </sheetViews>
  <sheetFormatPr defaultColWidth="9.140625" defaultRowHeight="15"/>
  <cols>
    <col min="1" max="1" width="64.00390625" style="97" customWidth="1"/>
    <col min="2" max="2" width="16.00390625" style="97" customWidth="1"/>
    <col min="3" max="4" width="16.00390625" style="97" hidden="1" customWidth="1"/>
    <col min="5" max="5" width="9.28125" style="97" hidden="1" customWidth="1"/>
    <col min="6" max="6" width="16.00390625" style="97" customWidth="1"/>
    <col min="7" max="7" width="13.28125" style="97" bestFit="1" customWidth="1"/>
    <col min="8" max="8" width="14.57421875" style="97" customWidth="1"/>
    <col min="9" max="9" width="9.7109375" style="97" customWidth="1"/>
    <col min="10" max="10" width="16.421875" style="97" customWidth="1"/>
    <col min="11" max="11" width="17.57421875" style="97" hidden="1" customWidth="1"/>
    <col min="12" max="12" width="12.8515625" style="97" hidden="1" customWidth="1"/>
    <col min="13" max="13" width="9.140625" style="97" customWidth="1"/>
    <col min="14" max="14" width="21.421875" style="97" customWidth="1"/>
    <col min="15" max="16384" width="9.140625" style="97" customWidth="1"/>
  </cols>
  <sheetData>
    <row r="1" ht="15">
      <c r="A1" s="97" t="s">
        <v>0</v>
      </c>
    </row>
    <row r="2" ht="15">
      <c r="A2" s="97" t="s">
        <v>1</v>
      </c>
    </row>
    <row r="3" spans="1:12" ht="15">
      <c r="A3" s="222" t="s">
        <v>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">
      <c r="A4" s="222" t="s">
        <v>208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5">
      <c r="A5" s="222" t="s">
        <v>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ht="15"/>
    <row r="7" ht="9" customHeight="1" thickBot="1"/>
    <row r="8" spans="1:12" ht="21" customHeight="1">
      <c r="A8" s="208" t="s">
        <v>4</v>
      </c>
      <c r="B8" s="211" t="s">
        <v>5</v>
      </c>
      <c r="C8" s="227"/>
      <c r="D8" s="227"/>
      <c r="E8" s="227"/>
      <c r="F8" s="212"/>
      <c r="G8" s="208" t="s">
        <v>6</v>
      </c>
      <c r="H8" s="208" t="s">
        <v>11</v>
      </c>
      <c r="I8" s="208" t="s">
        <v>40</v>
      </c>
      <c r="J8" s="213" t="s">
        <v>12</v>
      </c>
      <c r="K8" s="184" t="s">
        <v>7</v>
      </c>
      <c r="L8" s="1" t="s">
        <v>8</v>
      </c>
    </row>
    <row r="9" spans="1:12" ht="31.5" customHeight="1">
      <c r="A9" s="209"/>
      <c r="B9" s="70" t="s">
        <v>9</v>
      </c>
      <c r="C9" s="168"/>
      <c r="D9" s="168"/>
      <c r="E9" s="168"/>
      <c r="F9" s="71" t="s">
        <v>10</v>
      </c>
      <c r="G9" s="209"/>
      <c r="H9" s="209"/>
      <c r="I9" s="209"/>
      <c r="J9" s="214"/>
      <c r="K9" s="185"/>
      <c r="L9" s="72"/>
    </row>
    <row r="10" spans="1:12" ht="20.25" customHeight="1" thickBot="1">
      <c r="A10" s="210"/>
      <c r="B10" s="73">
        <v>0.3</v>
      </c>
      <c r="C10" s="174" t="s">
        <v>209</v>
      </c>
      <c r="D10" s="174" t="s">
        <v>210</v>
      </c>
      <c r="E10" s="174" t="s">
        <v>211</v>
      </c>
      <c r="F10" s="74">
        <v>0.7</v>
      </c>
      <c r="G10" s="210"/>
      <c r="H10" s="210"/>
      <c r="I10" s="210"/>
      <c r="J10" s="215"/>
      <c r="K10" s="75" t="s">
        <v>13</v>
      </c>
      <c r="L10" s="76"/>
    </row>
    <row r="11" spans="1:15" ht="15">
      <c r="A11" s="77" t="s">
        <v>14</v>
      </c>
      <c r="B11" s="76"/>
      <c r="C11" s="169"/>
      <c r="D11" s="169"/>
      <c r="E11" s="169"/>
      <c r="F11" s="76"/>
      <c r="G11" s="76"/>
      <c r="H11" s="76"/>
      <c r="I11" s="76"/>
      <c r="J11" s="78"/>
      <c r="K11" s="79"/>
      <c r="L11" s="80"/>
      <c r="N11" s="117">
        <v>3276089043</v>
      </c>
      <c r="O11" s="150" t="s">
        <v>154</v>
      </c>
    </row>
    <row r="12" spans="1:15" ht="15">
      <c r="A12" s="40" t="s">
        <v>68</v>
      </c>
      <c r="B12" s="8">
        <v>59793170</v>
      </c>
      <c r="C12" s="170"/>
      <c r="D12" s="170"/>
      <c r="E12" s="170"/>
      <c r="F12" s="8">
        <v>132517396</v>
      </c>
      <c r="G12" s="8"/>
      <c r="H12" s="8"/>
      <c r="I12" s="8"/>
      <c r="J12" s="81">
        <f>+B12+F12</f>
        <v>192310566</v>
      </c>
      <c r="K12" s="82"/>
      <c r="L12" s="80"/>
      <c r="N12" s="117">
        <v>189310566</v>
      </c>
      <c r="O12" s="156">
        <v>0.05</v>
      </c>
    </row>
    <row r="13" spans="1:15" ht="15">
      <c r="A13" s="40" t="s">
        <v>146</v>
      </c>
      <c r="B13" s="8"/>
      <c r="C13" s="170"/>
      <c r="D13" s="170"/>
      <c r="E13" s="170"/>
      <c r="F13" s="8">
        <v>132712512.25</v>
      </c>
      <c r="G13" s="8"/>
      <c r="H13" s="8"/>
      <c r="I13" s="8"/>
      <c r="J13" s="81">
        <f>+F13</f>
        <v>132712512.25</v>
      </c>
      <c r="K13" s="82"/>
      <c r="L13" s="80"/>
      <c r="N13" s="117">
        <f>+N12*0.7</f>
        <v>132517396.19999999</v>
      </c>
      <c r="O13" s="97">
        <v>70</v>
      </c>
    </row>
    <row r="14" spans="1:15" ht="15">
      <c r="A14" s="41" t="s">
        <v>17</v>
      </c>
      <c r="C14" s="167"/>
      <c r="D14" s="167"/>
      <c r="E14" s="167"/>
      <c r="F14" s="189">
        <f>+N26</f>
        <v>272679156.67</v>
      </c>
      <c r="G14" s="10"/>
      <c r="H14" s="83"/>
      <c r="I14" s="83"/>
      <c r="J14" s="192">
        <f>+F14</f>
        <v>272679156.67</v>
      </c>
      <c r="K14" s="82"/>
      <c r="L14" s="80"/>
      <c r="N14" s="117">
        <f>+N12*0.3</f>
        <v>56793169.8</v>
      </c>
      <c r="O14" s="97">
        <v>30</v>
      </c>
    </row>
    <row r="15" spans="1:12" ht="15">
      <c r="A15" s="41" t="s">
        <v>18</v>
      </c>
      <c r="C15" s="167"/>
      <c r="D15" s="167"/>
      <c r="E15" s="167"/>
      <c r="F15" s="190"/>
      <c r="G15" s="83"/>
      <c r="H15" s="83"/>
      <c r="I15" s="83"/>
      <c r="J15" s="193">
        <v>0</v>
      </c>
      <c r="K15" s="82"/>
      <c r="L15" s="80"/>
    </row>
    <row r="16" spans="1:12" ht="15">
      <c r="A16" s="41" t="s">
        <v>149</v>
      </c>
      <c r="C16" s="167"/>
      <c r="D16" s="167"/>
      <c r="E16" s="167"/>
      <c r="F16" s="190"/>
      <c r="G16" s="83"/>
      <c r="H16" s="83"/>
      <c r="I16" s="83"/>
      <c r="J16" s="193">
        <v>0</v>
      </c>
      <c r="K16" s="82"/>
      <c r="L16" s="80"/>
    </row>
    <row r="17" spans="1:12" ht="15">
      <c r="A17" s="42" t="s">
        <v>21</v>
      </c>
      <c r="B17" s="84"/>
      <c r="C17" s="171"/>
      <c r="D17" s="171"/>
      <c r="E17" s="171"/>
      <c r="F17" s="84"/>
      <c r="G17" s="84"/>
      <c r="H17" s="84"/>
      <c r="I17" s="84"/>
      <c r="J17" s="85"/>
      <c r="K17" s="82"/>
      <c r="L17" s="80"/>
    </row>
    <row r="18" spans="1:12" ht="15" hidden="1">
      <c r="A18" s="40" t="s">
        <v>22</v>
      </c>
      <c r="B18" s="8"/>
      <c r="C18" s="170"/>
      <c r="D18" s="170"/>
      <c r="E18" s="170"/>
      <c r="F18" s="8"/>
      <c r="G18" s="8"/>
      <c r="H18" s="8"/>
      <c r="I18" s="8"/>
      <c r="J18" s="81"/>
      <c r="K18" s="82"/>
      <c r="L18" s="80"/>
    </row>
    <row r="19" spans="1:14" ht="15">
      <c r="A19" s="39" t="s">
        <v>23</v>
      </c>
      <c r="B19" s="86">
        <f>SUM(B12:B18)</f>
        <v>59793170</v>
      </c>
      <c r="C19" s="172"/>
      <c r="D19" s="172"/>
      <c r="E19" s="172"/>
      <c r="F19" s="86">
        <f>SUM(F12:F18)</f>
        <v>537909064.9200001</v>
      </c>
      <c r="G19" s="8"/>
      <c r="H19" s="8"/>
      <c r="I19" s="8"/>
      <c r="J19" s="81">
        <f>SUM(B19:I19)</f>
        <v>597702234.9200001</v>
      </c>
      <c r="K19" s="82"/>
      <c r="L19" s="80"/>
      <c r="M19" s="97">
        <v>2014</v>
      </c>
      <c r="N19" s="157">
        <v>25751090</v>
      </c>
    </row>
    <row r="20" spans="1:14" ht="15">
      <c r="A20" s="39" t="s">
        <v>24</v>
      </c>
      <c r="B20" s="8"/>
      <c r="C20" s="170"/>
      <c r="D20" s="170"/>
      <c r="E20" s="170"/>
      <c r="F20" s="8"/>
      <c r="G20" s="8"/>
      <c r="H20" s="8"/>
      <c r="I20" s="8"/>
      <c r="J20" s="81"/>
      <c r="K20" s="82"/>
      <c r="L20" s="80"/>
      <c r="M20" s="97">
        <v>2015</v>
      </c>
      <c r="N20" s="157">
        <v>31603481.5</v>
      </c>
    </row>
    <row r="21" spans="1:14" ht="15">
      <c r="A21" s="40" t="s">
        <v>25</v>
      </c>
      <c r="B21" s="8"/>
      <c r="C21" s="170"/>
      <c r="D21" s="170"/>
      <c r="E21" s="170"/>
      <c r="F21" s="8"/>
      <c r="G21" s="8"/>
      <c r="H21" s="8"/>
      <c r="I21" s="8"/>
      <c r="J21" s="81"/>
      <c r="K21" s="82"/>
      <c r="L21" s="80"/>
      <c r="M21" s="97">
        <v>2016</v>
      </c>
      <c r="N21" s="157">
        <v>60262141.58</v>
      </c>
    </row>
    <row r="22" spans="1:14" ht="15">
      <c r="A22" s="40" t="s">
        <v>26</v>
      </c>
      <c r="B22" s="8"/>
      <c r="C22" s="170"/>
      <c r="D22" s="170"/>
      <c r="E22" s="170"/>
      <c r="F22" s="8"/>
      <c r="G22" s="8"/>
      <c r="H22" s="8"/>
      <c r="I22" s="8"/>
      <c r="J22" s="81"/>
      <c r="K22" s="82"/>
      <c r="L22" s="80"/>
      <c r="M22" s="97">
        <v>2017</v>
      </c>
      <c r="N22" s="157">
        <v>45433875.53</v>
      </c>
    </row>
    <row r="23" spans="1:14" ht="15">
      <c r="A23" s="40" t="s">
        <v>27</v>
      </c>
      <c r="B23" s="8"/>
      <c r="C23" s="170"/>
      <c r="D23" s="170"/>
      <c r="E23" s="170"/>
      <c r="F23" s="8"/>
      <c r="G23" s="8"/>
      <c r="H23" s="8"/>
      <c r="I23" s="8"/>
      <c r="J23" s="81"/>
      <c r="K23" s="82"/>
      <c r="L23" s="80"/>
      <c r="M23" s="97">
        <v>2018</v>
      </c>
      <c r="N23" s="157">
        <v>65575707.21</v>
      </c>
    </row>
    <row r="24" spans="1:12" ht="15" hidden="1">
      <c r="A24" s="40" t="s">
        <v>28</v>
      </c>
      <c r="B24" s="8"/>
      <c r="C24" s="170"/>
      <c r="D24" s="170"/>
      <c r="E24" s="170"/>
      <c r="F24" s="8"/>
      <c r="G24" s="8"/>
      <c r="H24" s="8"/>
      <c r="I24" s="8"/>
      <c r="J24" s="81"/>
      <c r="K24" s="82"/>
      <c r="L24" s="80"/>
    </row>
    <row r="25" spans="1:14" ht="15">
      <c r="A25" s="40" t="s">
        <v>45</v>
      </c>
      <c r="B25" s="8"/>
      <c r="C25" s="170"/>
      <c r="D25" s="170"/>
      <c r="E25" s="170"/>
      <c r="F25" s="8"/>
      <c r="G25" s="8"/>
      <c r="H25" s="8"/>
      <c r="I25" s="8"/>
      <c r="J25" s="81"/>
      <c r="K25" s="82"/>
      <c r="L25" s="80"/>
      <c r="M25" s="97">
        <v>2019</v>
      </c>
      <c r="N25" s="157">
        <v>69803950.85</v>
      </c>
    </row>
    <row r="26" spans="1:14" ht="15.75" thickBot="1">
      <c r="A26" s="40" t="s">
        <v>165</v>
      </c>
      <c r="B26" s="8"/>
      <c r="C26" s="170"/>
      <c r="D26" s="170"/>
      <c r="E26" s="170"/>
      <c r="F26" s="8"/>
      <c r="G26" s="8"/>
      <c r="H26" s="8"/>
      <c r="I26" s="8"/>
      <c r="J26" s="81"/>
      <c r="K26" s="82"/>
      <c r="L26" s="80"/>
      <c r="N26" s="158">
        <f>SUM(N20:N25)</f>
        <v>272679156.67</v>
      </c>
    </row>
    <row r="27" spans="1:12" ht="15.75" thickTop="1">
      <c r="A27" s="40" t="s">
        <v>159</v>
      </c>
      <c r="B27" s="8"/>
      <c r="C27" s="170"/>
      <c r="D27" s="170"/>
      <c r="E27" s="170"/>
      <c r="F27" s="8"/>
      <c r="G27" s="8"/>
      <c r="H27" s="8"/>
      <c r="I27" s="8"/>
      <c r="J27" s="81"/>
      <c r="K27" s="82"/>
      <c r="L27" s="80"/>
    </row>
    <row r="28" spans="1:12" ht="15">
      <c r="A28" s="40" t="s">
        <v>186</v>
      </c>
      <c r="B28" s="8"/>
      <c r="C28" s="170"/>
      <c r="D28" s="170"/>
      <c r="E28" s="170"/>
      <c r="F28" s="8"/>
      <c r="G28" s="8"/>
      <c r="H28" s="8"/>
      <c r="I28" s="8"/>
      <c r="J28" s="81"/>
      <c r="K28" s="82"/>
      <c r="L28" s="80"/>
    </row>
    <row r="29" spans="1:12" ht="15">
      <c r="A29" s="40" t="s">
        <v>176</v>
      </c>
      <c r="B29" s="8"/>
      <c r="C29" s="170"/>
      <c r="D29" s="170"/>
      <c r="E29" s="170"/>
      <c r="F29" s="8"/>
      <c r="G29" s="8"/>
      <c r="H29" s="8"/>
      <c r="I29" s="8"/>
      <c r="J29" s="81"/>
      <c r="K29" s="82"/>
      <c r="L29" s="80"/>
    </row>
    <row r="30" spans="1:12" ht="15">
      <c r="A30" s="40" t="s">
        <v>166</v>
      </c>
      <c r="B30" s="8"/>
      <c r="C30" s="170"/>
      <c r="D30" s="170"/>
      <c r="E30" s="170"/>
      <c r="F30" s="8"/>
      <c r="G30" s="8"/>
      <c r="H30" s="8"/>
      <c r="I30" s="8"/>
      <c r="J30" s="81"/>
      <c r="K30" s="82"/>
      <c r="L30" s="80"/>
    </row>
    <row r="31" spans="1:12" ht="15">
      <c r="A31" s="40" t="s">
        <v>81</v>
      </c>
      <c r="B31" s="8"/>
      <c r="C31" s="170"/>
      <c r="D31" s="170">
        <v>4188.27</v>
      </c>
      <c r="E31" s="170"/>
      <c r="F31" s="8">
        <f>+SUM(C31:E31)</f>
        <v>4188.27</v>
      </c>
      <c r="G31" s="8"/>
      <c r="H31" s="8"/>
      <c r="I31" s="8"/>
      <c r="J31" s="81"/>
      <c r="K31" s="82"/>
      <c r="L31" s="80"/>
    </row>
    <row r="32" spans="1:12" ht="15">
      <c r="A32" s="40" t="s">
        <v>175</v>
      </c>
      <c r="B32" s="8"/>
      <c r="C32" s="170"/>
      <c r="D32" s="170"/>
      <c r="E32" s="170"/>
      <c r="F32" s="8"/>
      <c r="G32" s="8"/>
      <c r="H32" s="8"/>
      <c r="I32" s="8"/>
      <c r="J32" s="81"/>
      <c r="K32" s="82"/>
      <c r="L32" s="80"/>
    </row>
    <row r="33" spans="1:14" ht="15">
      <c r="A33" s="40" t="s">
        <v>90</v>
      </c>
      <c r="B33" s="8"/>
      <c r="C33" s="170"/>
      <c r="D33" s="170"/>
      <c r="E33" s="170"/>
      <c r="F33" s="8"/>
      <c r="G33" s="8"/>
      <c r="H33" s="8"/>
      <c r="I33" s="8"/>
      <c r="J33" s="81"/>
      <c r="K33" s="82"/>
      <c r="L33" s="80"/>
      <c r="N33" s="97" t="s">
        <v>155</v>
      </c>
    </row>
    <row r="34" spans="1:12" ht="15">
      <c r="A34" s="40" t="s">
        <v>91</v>
      </c>
      <c r="B34" s="8"/>
      <c r="C34" s="170"/>
      <c r="D34" s="170"/>
      <c r="E34" s="170"/>
      <c r="F34" s="8"/>
      <c r="G34" s="8"/>
      <c r="H34" s="8"/>
      <c r="I34" s="8"/>
      <c r="J34" s="81"/>
      <c r="K34" s="82"/>
      <c r="L34" s="80"/>
    </row>
    <row r="35" spans="1:12" ht="15" customHeight="1">
      <c r="A35" s="40" t="s">
        <v>169</v>
      </c>
      <c r="B35" s="8"/>
      <c r="C35" s="170"/>
      <c r="D35" s="170"/>
      <c r="E35" s="170"/>
      <c r="F35" s="8"/>
      <c r="G35" s="8"/>
      <c r="H35" s="8"/>
      <c r="I35" s="8"/>
      <c r="J35" s="81"/>
      <c r="K35" s="82"/>
      <c r="L35" s="80"/>
    </row>
    <row r="36" spans="1:12" ht="15" customHeight="1">
      <c r="A36" s="40" t="s">
        <v>170</v>
      </c>
      <c r="B36" s="8"/>
      <c r="C36" s="170"/>
      <c r="D36" s="170"/>
      <c r="E36" s="170"/>
      <c r="F36" s="8"/>
      <c r="G36" s="8"/>
      <c r="H36" s="8"/>
      <c r="I36" s="8"/>
      <c r="J36" s="81"/>
      <c r="K36" s="82"/>
      <c r="L36" s="80"/>
    </row>
    <row r="37" spans="1:12" ht="15" customHeight="1">
      <c r="A37" s="40" t="s">
        <v>182</v>
      </c>
      <c r="B37" s="8"/>
      <c r="C37" s="170"/>
      <c r="D37" s="170"/>
      <c r="E37" s="170"/>
      <c r="F37" s="8"/>
      <c r="G37" s="8"/>
      <c r="H37" s="8"/>
      <c r="I37" s="8"/>
      <c r="J37" s="81"/>
      <c r="K37" s="82"/>
      <c r="L37" s="80"/>
    </row>
    <row r="38" spans="1:12" ht="15" customHeight="1">
      <c r="A38" s="40" t="s">
        <v>193</v>
      </c>
      <c r="B38" s="8"/>
      <c r="C38" s="170"/>
      <c r="D38" s="170"/>
      <c r="E38" s="170"/>
      <c r="F38" s="8"/>
      <c r="G38" s="8"/>
      <c r="H38" s="8"/>
      <c r="I38" s="8"/>
      <c r="J38" s="81"/>
      <c r="K38" s="82"/>
      <c r="L38" s="80"/>
    </row>
    <row r="39" spans="1:12" ht="15" customHeight="1">
      <c r="A39" s="40" t="s">
        <v>194</v>
      </c>
      <c r="B39" s="8"/>
      <c r="C39" s="170"/>
      <c r="D39" s="170"/>
      <c r="E39" s="170"/>
      <c r="F39" s="8"/>
      <c r="G39" s="8"/>
      <c r="H39" s="8"/>
      <c r="I39" s="8"/>
      <c r="J39" s="81"/>
      <c r="K39" s="82"/>
      <c r="L39" s="80"/>
    </row>
    <row r="40" spans="1:12" ht="15" customHeight="1">
      <c r="A40" s="40" t="s">
        <v>195</v>
      </c>
      <c r="B40" s="8"/>
      <c r="C40" s="170"/>
      <c r="D40" s="170"/>
      <c r="E40" s="170"/>
      <c r="F40" s="8"/>
      <c r="G40" s="8"/>
      <c r="H40" s="8"/>
      <c r="I40" s="8"/>
      <c r="J40" s="81"/>
      <c r="K40" s="82"/>
      <c r="L40" s="80"/>
    </row>
    <row r="41" spans="1:12" ht="15" customHeight="1">
      <c r="A41" s="40" t="s">
        <v>198</v>
      </c>
      <c r="B41" s="8"/>
      <c r="C41" s="170"/>
      <c r="D41" s="170"/>
      <c r="E41" s="170"/>
      <c r="F41" s="8"/>
      <c r="G41" s="8"/>
      <c r="H41" s="8"/>
      <c r="I41" s="8"/>
      <c r="J41" s="81"/>
      <c r="K41" s="82"/>
      <c r="L41" s="80"/>
    </row>
    <row r="42" spans="1:12" ht="15" customHeight="1">
      <c r="A42" s="40" t="s">
        <v>199</v>
      </c>
      <c r="B42" s="8"/>
      <c r="C42" s="170"/>
      <c r="D42" s="170">
        <v>102300</v>
      </c>
      <c r="E42" s="170"/>
      <c r="F42" s="8">
        <f>+SUM(C42:E42)</f>
        <v>102300</v>
      </c>
      <c r="G42" s="8"/>
      <c r="H42" s="8"/>
      <c r="I42" s="8"/>
      <c r="J42" s="81"/>
      <c r="K42" s="82"/>
      <c r="L42" s="80"/>
    </row>
    <row r="43" spans="1:12" ht="15" customHeight="1">
      <c r="A43" s="40" t="s">
        <v>162</v>
      </c>
      <c r="B43" s="8"/>
      <c r="C43" s="170"/>
      <c r="D43" s="170">
        <v>56040</v>
      </c>
      <c r="E43" s="170"/>
      <c r="F43" s="8">
        <f>+SUM(C43:E43)</f>
        <v>56040</v>
      </c>
      <c r="G43" s="8"/>
      <c r="H43" s="8"/>
      <c r="I43" s="8"/>
      <c r="J43" s="81"/>
      <c r="K43" s="82"/>
      <c r="L43" s="80"/>
    </row>
    <row r="44" spans="1:12" ht="15">
      <c r="A44" s="40" t="s">
        <v>32</v>
      </c>
      <c r="B44" s="8"/>
      <c r="C44" s="170"/>
      <c r="D44" s="170"/>
      <c r="E44" s="170"/>
      <c r="F44" s="8"/>
      <c r="G44" s="8"/>
      <c r="H44" s="8"/>
      <c r="I44" s="8"/>
      <c r="J44" s="81"/>
      <c r="K44" s="82"/>
      <c r="L44" s="80"/>
    </row>
    <row r="45" spans="1:12" ht="15">
      <c r="A45" s="40" t="s">
        <v>212</v>
      </c>
      <c r="B45" s="8"/>
      <c r="C45" s="170"/>
      <c r="D45" s="170">
        <v>75000</v>
      </c>
      <c r="E45" s="170"/>
      <c r="F45" s="8">
        <f>+SUM(C45:E45)</f>
        <v>75000</v>
      </c>
      <c r="G45" s="8"/>
      <c r="H45" s="8"/>
      <c r="I45" s="8"/>
      <c r="J45" s="81"/>
      <c r="K45" s="82"/>
      <c r="L45" s="80"/>
    </row>
    <row r="46" spans="1:12" ht="15">
      <c r="A46" s="40" t="s">
        <v>33</v>
      </c>
      <c r="B46" s="8"/>
      <c r="C46" s="170"/>
      <c r="D46" s="170"/>
      <c r="E46" s="170"/>
      <c r="F46" s="8"/>
      <c r="G46" s="8"/>
      <c r="H46" s="8"/>
      <c r="I46" s="8"/>
      <c r="J46" s="81"/>
      <c r="K46" s="82"/>
      <c r="L46" s="80"/>
    </row>
    <row r="47" spans="1:12" ht="15">
      <c r="A47" s="40" t="s">
        <v>202</v>
      </c>
      <c r="B47" s="8"/>
      <c r="C47" s="170"/>
      <c r="D47" s="170"/>
      <c r="E47" s="170"/>
      <c r="F47" s="8"/>
      <c r="G47" s="8"/>
      <c r="H47" s="8"/>
      <c r="I47" s="8"/>
      <c r="J47" s="81"/>
      <c r="K47" s="82"/>
      <c r="L47" s="80"/>
    </row>
    <row r="48" spans="1:12" ht="15">
      <c r="A48" s="39" t="s">
        <v>35</v>
      </c>
      <c r="B48" s="86">
        <f>+SUM(B20:B47)</f>
        <v>0</v>
      </c>
      <c r="C48" s="172"/>
      <c r="D48" s="172"/>
      <c r="E48" s="172"/>
      <c r="F48" s="86">
        <f>+SUM(F20:F47)</f>
        <v>237528.27000000002</v>
      </c>
      <c r="G48" s="8"/>
      <c r="H48" s="8"/>
      <c r="I48" s="8"/>
      <c r="J48" s="89"/>
      <c r="K48" s="82"/>
      <c r="L48" s="80"/>
    </row>
    <row r="49" spans="1:12" ht="15.75" thickBot="1">
      <c r="A49" s="44" t="s">
        <v>36</v>
      </c>
      <c r="B49" s="90">
        <f>+B19-B48</f>
        <v>59793170</v>
      </c>
      <c r="C49" s="173"/>
      <c r="D49" s="173"/>
      <c r="E49" s="173"/>
      <c r="F49" s="90">
        <f>+F19-F48</f>
        <v>537671536.6500001</v>
      </c>
      <c r="G49" s="91"/>
      <c r="H49" s="91"/>
      <c r="I49" s="91"/>
      <c r="J49" s="92">
        <f>+J19</f>
        <v>597702234.9200001</v>
      </c>
      <c r="K49" s="82"/>
      <c r="L49" s="80"/>
    </row>
    <row r="50" spans="1:12" ht="15">
      <c r="A50" s="20"/>
      <c r="B50" s="159"/>
      <c r="C50" s="159"/>
      <c r="D50" s="159"/>
      <c r="E50" s="159"/>
      <c r="F50" s="159"/>
      <c r="G50" s="160"/>
      <c r="H50" s="160"/>
      <c r="I50" s="160"/>
      <c r="J50" s="159"/>
      <c r="K50" s="160"/>
      <c r="L50" s="161"/>
    </row>
    <row r="51" spans="1:12" ht="15">
      <c r="A51" s="162" t="s">
        <v>151</v>
      </c>
      <c r="B51" s="159"/>
      <c r="C51" s="159"/>
      <c r="D51" s="159"/>
      <c r="E51" s="159"/>
      <c r="F51" s="159"/>
      <c r="G51" s="160"/>
      <c r="H51" s="160"/>
      <c r="I51" s="160"/>
      <c r="J51" s="159"/>
      <c r="K51" s="160"/>
      <c r="L51" s="161"/>
    </row>
    <row r="52" spans="1:10" ht="15">
      <c r="A52" s="162"/>
      <c r="G52" s="162"/>
      <c r="H52" s="162"/>
      <c r="I52" s="162"/>
      <c r="J52" s="162"/>
    </row>
    <row r="53" spans="7:10" ht="15">
      <c r="G53" s="162"/>
      <c r="H53" s="162"/>
      <c r="I53" s="162"/>
      <c r="J53" s="162"/>
    </row>
    <row r="54" spans="1:10" ht="15">
      <c r="A54" s="23" t="s">
        <v>207</v>
      </c>
      <c r="F54" s="162"/>
      <c r="G54" s="162"/>
      <c r="H54" s="162"/>
      <c r="I54" s="162"/>
      <c r="J54" s="162"/>
    </row>
    <row r="55" spans="1:10" ht="15">
      <c r="A55" s="23" t="s">
        <v>206</v>
      </c>
      <c r="F55" s="162"/>
      <c r="G55" s="162"/>
      <c r="H55" s="162"/>
      <c r="I55" s="162"/>
      <c r="J55" s="162"/>
    </row>
    <row r="56" spans="6:10" ht="15">
      <c r="F56" s="162"/>
      <c r="G56" s="162"/>
      <c r="H56" s="162"/>
      <c r="I56" s="162"/>
      <c r="J56" s="162"/>
    </row>
    <row r="57" ht="14.25" customHeight="1"/>
    <row r="58" ht="14.25" customHeight="1"/>
    <row r="59" spans="2:12" ht="15" customHeight="1">
      <c r="B59" s="161"/>
      <c r="C59" s="161"/>
      <c r="D59" s="161"/>
      <c r="E59" s="161"/>
      <c r="F59" s="161"/>
      <c r="I59" s="225" t="s">
        <v>70</v>
      </c>
      <c r="J59" s="226"/>
      <c r="K59" s="163"/>
      <c r="L59" s="163"/>
    </row>
    <row r="60" spans="2:14" ht="15" customHeight="1">
      <c r="B60" s="223"/>
      <c r="C60" s="223"/>
      <c r="D60" s="223"/>
      <c r="E60" s="223"/>
      <c r="F60" s="223"/>
      <c r="I60" s="224" t="s">
        <v>156</v>
      </c>
      <c r="J60" s="224"/>
      <c r="K60" s="164"/>
      <c r="L60" s="164"/>
      <c r="N60" s="97" t="s">
        <v>41</v>
      </c>
    </row>
    <row r="61" spans="2:14" ht="15" customHeight="1">
      <c r="B61" s="223"/>
      <c r="C61" s="223"/>
      <c r="D61" s="223"/>
      <c r="E61" s="223"/>
      <c r="F61" s="223"/>
      <c r="I61" s="224"/>
      <c r="J61" s="224"/>
      <c r="K61" s="164"/>
      <c r="L61" s="164"/>
      <c r="N61" s="97" t="s">
        <v>150</v>
      </c>
    </row>
    <row r="62" spans="1:14" s="117" customFormat="1" ht="15">
      <c r="A62" s="97"/>
      <c r="B62" s="97"/>
      <c r="C62" s="97"/>
      <c r="D62" s="97"/>
      <c r="E62" s="97"/>
      <c r="F62" s="157"/>
      <c r="G62" s="97"/>
      <c r="H62" s="97"/>
      <c r="I62" s="97"/>
      <c r="J62" s="97"/>
      <c r="K62" s="97"/>
      <c r="L62" s="97"/>
      <c r="N62" s="97"/>
    </row>
    <row r="63" spans="6:14" ht="15">
      <c r="F63" s="165"/>
      <c r="N63" s="117"/>
    </row>
    <row r="64" spans="1:14" s="117" customFormat="1" ht="15">
      <c r="A64" s="97"/>
      <c r="B64" s="97"/>
      <c r="C64" s="97"/>
      <c r="D64" s="97"/>
      <c r="E64" s="97"/>
      <c r="F64" s="157"/>
      <c r="G64" s="97"/>
      <c r="H64" s="97"/>
      <c r="K64" s="97"/>
      <c r="L64" s="97"/>
      <c r="N64" s="97"/>
    </row>
    <row r="65" spans="1:12" s="117" customFormat="1" ht="15">
      <c r="A65" s="97"/>
      <c r="B65" s="97"/>
      <c r="C65" s="97"/>
      <c r="D65" s="97"/>
      <c r="E65" s="97"/>
      <c r="F65" s="157">
        <v>54127359.65</v>
      </c>
      <c r="G65" s="97"/>
      <c r="H65" s="97"/>
      <c r="K65" s="97"/>
      <c r="L65" s="97"/>
    </row>
    <row r="66" spans="6:14" ht="15">
      <c r="F66" s="157">
        <f>+F48-F65</f>
        <v>-53889831.379999995</v>
      </c>
      <c r="N66" s="117"/>
    </row>
  </sheetData>
  <sheetProtection/>
  <mergeCells count="17">
    <mergeCell ref="I60:J60"/>
    <mergeCell ref="B61:F61"/>
    <mergeCell ref="I61:J61"/>
    <mergeCell ref="A3:L3"/>
    <mergeCell ref="A4:L4"/>
    <mergeCell ref="A5:L5"/>
    <mergeCell ref="A8:A10"/>
    <mergeCell ref="B8:F8"/>
    <mergeCell ref="G8:G10"/>
    <mergeCell ref="H8:H10"/>
    <mergeCell ref="I8:I10"/>
    <mergeCell ref="J8:J10"/>
    <mergeCell ref="K8:K9"/>
    <mergeCell ref="F14:F16"/>
    <mergeCell ref="J14:J16"/>
    <mergeCell ref="I59:J59"/>
    <mergeCell ref="B60:F60"/>
  </mergeCells>
  <printOptions horizontalCentered="1"/>
  <pageMargins left="0.25" right="0.25" top="0.75" bottom="0.75" header="0.3" footer="0.3"/>
  <pageSetup fitToHeight="0" fitToWidth="0" horizontalDpi="360" verticalDpi="360" orientation="portrait" paperSize="9" scale="65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5" sqref="A5:L5"/>
    </sheetView>
  </sheetViews>
  <sheetFormatPr defaultColWidth="9.140625" defaultRowHeight="15"/>
  <cols>
    <col min="1" max="1" width="64.00390625" style="97" customWidth="1"/>
    <col min="2" max="2" width="16.00390625" style="97" customWidth="1"/>
    <col min="3" max="3" width="16.00390625" style="97" hidden="1" customWidth="1"/>
    <col min="4" max="4" width="4.57421875" style="97" hidden="1" customWidth="1"/>
    <col min="5" max="5" width="8.28125" style="97" hidden="1" customWidth="1"/>
    <col min="6" max="6" width="16.00390625" style="97" customWidth="1"/>
    <col min="7" max="7" width="13.28125" style="97" bestFit="1" customWidth="1"/>
    <col min="8" max="8" width="14.57421875" style="97" customWidth="1"/>
    <col min="9" max="9" width="9.7109375" style="97" customWidth="1"/>
    <col min="10" max="10" width="16.421875" style="97" customWidth="1"/>
    <col min="11" max="11" width="17.57421875" style="97" hidden="1" customWidth="1"/>
    <col min="12" max="12" width="12.8515625" style="97" hidden="1" customWidth="1"/>
    <col min="13" max="13" width="9.140625" style="97" customWidth="1"/>
    <col min="14" max="14" width="21.421875" style="97" customWidth="1"/>
    <col min="15" max="16384" width="9.140625" style="97" customWidth="1"/>
  </cols>
  <sheetData>
    <row r="1" ht="15">
      <c r="A1" s="97" t="s">
        <v>0</v>
      </c>
    </row>
    <row r="2" ht="15">
      <c r="A2" s="97" t="s">
        <v>1</v>
      </c>
    </row>
    <row r="3" spans="1:12" ht="15">
      <c r="A3" s="222" t="s">
        <v>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">
      <c r="A4" s="222" t="s">
        <v>213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5">
      <c r="A5" s="222" t="s">
        <v>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ht="15"/>
    <row r="7" ht="9" customHeight="1" thickBot="1"/>
    <row r="8" spans="1:12" ht="21" customHeight="1">
      <c r="A8" s="208" t="s">
        <v>4</v>
      </c>
      <c r="B8" s="211" t="s">
        <v>5</v>
      </c>
      <c r="C8" s="227"/>
      <c r="D8" s="227"/>
      <c r="E8" s="227"/>
      <c r="F8" s="212"/>
      <c r="G8" s="208" t="s">
        <v>6</v>
      </c>
      <c r="H8" s="208" t="s">
        <v>11</v>
      </c>
      <c r="I8" s="208" t="s">
        <v>40</v>
      </c>
      <c r="J8" s="213" t="s">
        <v>12</v>
      </c>
      <c r="K8" s="184" t="s">
        <v>7</v>
      </c>
      <c r="L8" s="1" t="s">
        <v>8</v>
      </c>
    </row>
    <row r="9" spans="1:12" ht="31.5" customHeight="1">
      <c r="A9" s="209"/>
      <c r="B9" s="70" t="s">
        <v>9</v>
      </c>
      <c r="C9" s="168"/>
      <c r="D9" s="168"/>
      <c r="E9" s="168"/>
      <c r="F9" s="71" t="s">
        <v>10</v>
      </c>
      <c r="G9" s="209"/>
      <c r="H9" s="209"/>
      <c r="I9" s="209"/>
      <c r="J9" s="214"/>
      <c r="K9" s="185"/>
      <c r="L9" s="72"/>
    </row>
    <row r="10" spans="1:12" ht="20.25" customHeight="1" thickBot="1">
      <c r="A10" s="210"/>
      <c r="B10" s="73">
        <v>0.3</v>
      </c>
      <c r="C10" s="174" t="s">
        <v>209</v>
      </c>
      <c r="D10" s="174" t="s">
        <v>210</v>
      </c>
      <c r="E10" s="174" t="s">
        <v>211</v>
      </c>
      <c r="F10" s="74">
        <v>0.7</v>
      </c>
      <c r="G10" s="210"/>
      <c r="H10" s="210"/>
      <c r="I10" s="210"/>
      <c r="J10" s="215"/>
      <c r="K10" s="75" t="s">
        <v>13</v>
      </c>
      <c r="L10" s="76"/>
    </row>
    <row r="11" spans="1:15" ht="15">
      <c r="A11" s="77" t="s">
        <v>14</v>
      </c>
      <c r="B11" s="76"/>
      <c r="C11" s="169"/>
      <c r="D11" s="169"/>
      <c r="E11" s="169"/>
      <c r="F11" s="76"/>
      <c r="G11" s="76"/>
      <c r="H11" s="76"/>
      <c r="I11" s="76"/>
      <c r="J11" s="78"/>
      <c r="K11" s="79"/>
      <c r="L11" s="80"/>
      <c r="N11" s="117">
        <v>3276089043</v>
      </c>
      <c r="O11" s="150" t="s">
        <v>154</v>
      </c>
    </row>
    <row r="12" spans="1:15" ht="15">
      <c r="A12" s="40" t="s">
        <v>68</v>
      </c>
      <c r="B12" s="8">
        <v>59793170</v>
      </c>
      <c r="C12" s="170"/>
      <c r="D12" s="170"/>
      <c r="E12" s="170"/>
      <c r="F12" s="8">
        <v>132517396</v>
      </c>
      <c r="G12" s="8"/>
      <c r="H12" s="8"/>
      <c r="I12" s="8"/>
      <c r="J12" s="81">
        <f>+B12+F12</f>
        <v>192310566</v>
      </c>
      <c r="K12" s="82"/>
      <c r="L12" s="80"/>
      <c r="N12" s="117">
        <v>189310566</v>
      </c>
      <c r="O12" s="156">
        <v>0.05</v>
      </c>
    </row>
    <row r="13" spans="1:15" ht="15">
      <c r="A13" s="40" t="s">
        <v>146</v>
      </c>
      <c r="B13" s="8"/>
      <c r="C13" s="170"/>
      <c r="D13" s="170"/>
      <c r="E13" s="170"/>
      <c r="F13" s="8">
        <v>132712512.25</v>
      </c>
      <c r="G13" s="8"/>
      <c r="H13" s="8"/>
      <c r="I13" s="8"/>
      <c r="J13" s="81">
        <f>+F13</f>
        <v>132712512.25</v>
      </c>
      <c r="K13" s="82"/>
      <c r="L13" s="80"/>
      <c r="N13" s="117">
        <f>+N12*0.7</f>
        <v>132517396.19999999</v>
      </c>
      <c r="O13" s="97">
        <v>70</v>
      </c>
    </row>
    <row r="14" spans="1:15" ht="15">
      <c r="A14" s="41" t="s">
        <v>17</v>
      </c>
      <c r="C14" s="167"/>
      <c r="D14" s="167"/>
      <c r="E14" s="167"/>
      <c r="F14" s="189">
        <f>+N26</f>
        <v>272679156.67</v>
      </c>
      <c r="G14" s="10"/>
      <c r="H14" s="83"/>
      <c r="I14" s="83"/>
      <c r="J14" s="192">
        <f>+F14</f>
        <v>272679156.67</v>
      </c>
      <c r="K14" s="82"/>
      <c r="L14" s="80"/>
      <c r="N14" s="117">
        <f>+N12*0.3</f>
        <v>56793169.8</v>
      </c>
      <c r="O14" s="97">
        <v>30</v>
      </c>
    </row>
    <row r="15" spans="1:12" ht="15">
      <c r="A15" s="41" t="s">
        <v>18</v>
      </c>
      <c r="C15" s="167"/>
      <c r="D15" s="167"/>
      <c r="E15" s="167"/>
      <c r="F15" s="190"/>
      <c r="G15" s="83"/>
      <c r="H15" s="83"/>
      <c r="I15" s="83"/>
      <c r="J15" s="193">
        <v>0</v>
      </c>
      <c r="K15" s="82"/>
      <c r="L15" s="80"/>
    </row>
    <row r="16" spans="1:12" ht="15">
      <c r="A16" s="41" t="s">
        <v>149</v>
      </c>
      <c r="C16" s="167"/>
      <c r="D16" s="167"/>
      <c r="E16" s="167"/>
      <c r="F16" s="190"/>
      <c r="G16" s="83"/>
      <c r="H16" s="83"/>
      <c r="I16" s="83"/>
      <c r="J16" s="193">
        <v>0</v>
      </c>
      <c r="K16" s="82"/>
      <c r="L16" s="80"/>
    </row>
    <row r="17" spans="1:12" ht="15">
      <c r="A17" s="42" t="s">
        <v>21</v>
      </c>
      <c r="B17" s="84"/>
      <c r="C17" s="171"/>
      <c r="D17" s="171"/>
      <c r="E17" s="171"/>
      <c r="F17" s="84"/>
      <c r="G17" s="84"/>
      <c r="H17" s="84"/>
      <c r="I17" s="84"/>
      <c r="J17" s="85"/>
      <c r="K17" s="82"/>
      <c r="L17" s="80"/>
    </row>
    <row r="18" spans="1:12" ht="15" hidden="1">
      <c r="A18" s="40" t="s">
        <v>22</v>
      </c>
      <c r="B18" s="8"/>
      <c r="C18" s="170"/>
      <c r="D18" s="170"/>
      <c r="E18" s="170"/>
      <c r="F18" s="8"/>
      <c r="G18" s="8"/>
      <c r="H18" s="8"/>
      <c r="I18" s="8"/>
      <c r="J18" s="81"/>
      <c r="K18" s="82"/>
      <c r="L18" s="80"/>
    </row>
    <row r="19" spans="1:14" ht="15">
      <c r="A19" s="39" t="s">
        <v>23</v>
      </c>
      <c r="B19" s="86">
        <f>SUM(B12:B18)</f>
        <v>59793170</v>
      </c>
      <c r="C19" s="172"/>
      <c r="D19" s="172"/>
      <c r="E19" s="172"/>
      <c r="F19" s="86">
        <f>SUM(F12:F18)</f>
        <v>537909064.9200001</v>
      </c>
      <c r="G19" s="8"/>
      <c r="H19" s="8"/>
      <c r="I19" s="8"/>
      <c r="J19" s="81">
        <f>SUM(B19:I19)</f>
        <v>597702234.9200001</v>
      </c>
      <c r="K19" s="82"/>
      <c r="L19" s="80"/>
      <c r="M19" s="97">
        <v>2014</v>
      </c>
      <c r="N19" s="157">
        <v>25751090</v>
      </c>
    </row>
    <row r="20" spans="1:14" ht="15">
      <c r="A20" s="39" t="s">
        <v>24</v>
      </c>
      <c r="B20" s="8"/>
      <c r="C20" s="170"/>
      <c r="D20" s="170"/>
      <c r="E20" s="170"/>
      <c r="F20" s="8"/>
      <c r="G20" s="8"/>
      <c r="H20" s="8"/>
      <c r="I20" s="8"/>
      <c r="J20" s="81"/>
      <c r="K20" s="82"/>
      <c r="L20" s="80"/>
      <c r="M20" s="97">
        <v>2015</v>
      </c>
      <c r="N20" s="157">
        <v>31603481.5</v>
      </c>
    </row>
    <row r="21" spans="1:14" ht="15">
      <c r="A21" s="40" t="s">
        <v>25</v>
      </c>
      <c r="B21" s="8"/>
      <c r="C21" s="170"/>
      <c r="D21" s="170"/>
      <c r="E21" s="170"/>
      <c r="F21" s="8"/>
      <c r="G21" s="8"/>
      <c r="H21" s="8"/>
      <c r="I21" s="8"/>
      <c r="J21" s="81"/>
      <c r="K21" s="82"/>
      <c r="L21" s="80"/>
      <c r="M21" s="97">
        <v>2016</v>
      </c>
      <c r="N21" s="157">
        <v>60262141.58</v>
      </c>
    </row>
    <row r="22" spans="1:14" ht="15">
      <c r="A22" s="40" t="s">
        <v>26</v>
      </c>
      <c r="B22" s="8"/>
      <c r="C22" s="170"/>
      <c r="D22" s="170"/>
      <c r="E22" s="170"/>
      <c r="F22" s="8"/>
      <c r="G22" s="8"/>
      <c r="H22" s="8"/>
      <c r="I22" s="8"/>
      <c r="J22" s="81"/>
      <c r="K22" s="82"/>
      <c r="L22" s="80"/>
      <c r="M22" s="97">
        <v>2017</v>
      </c>
      <c r="N22" s="157">
        <v>45433875.53</v>
      </c>
    </row>
    <row r="23" spans="1:14" ht="15">
      <c r="A23" s="40" t="s">
        <v>27</v>
      </c>
      <c r="B23" s="8"/>
      <c r="C23" s="170"/>
      <c r="D23" s="170"/>
      <c r="E23" s="170"/>
      <c r="F23" s="8"/>
      <c r="G23" s="8"/>
      <c r="H23" s="8"/>
      <c r="I23" s="8"/>
      <c r="J23" s="81"/>
      <c r="K23" s="82"/>
      <c r="L23" s="80"/>
      <c r="M23" s="97">
        <v>2018</v>
      </c>
      <c r="N23" s="157">
        <v>65575707.21</v>
      </c>
    </row>
    <row r="24" spans="1:12" ht="15" hidden="1">
      <c r="A24" s="40" t="s">
        <v>28</v>
      </c>
      <c r="B24" s="8"/>
      <c r="C24" s="170"/>
      <c r="D24" s="170"/>
      <c r="E24" s="170"/>
      <c r="F24" s="8"/>
      <c r="G24" s="8"/>
      <c r="H24" s="8"/>
      <c r="I24" s="8"/>
      <c r="J24" s="81"/>
      <c r="K24" s="82"/>
      <c r="L24" s="80"/>
    </row>
    <row r="25" spans="1:14" ht="15">
      <c r="A25" s="40" t="s">
        <v>45</v>
      </c>
      <c r="B25" s="8"/>
      <c r="C25" s="170"/>
      <c r="D25" s="170"/>
      <c r="E25" s="170"/>
      <c r="F25" s="8"/>
      <c r="G25" s="8"/>
      <c r="H25" s="8"/>
      <c r="I25" s="8"/>
      <c r="J25" s="81"/>
      <c r="K25" s="82"/>
      <c r="L25" s="80"/>
      <c r="M25" s="97">
        <v>2019</v>
      </c>
      <c r="N25" s="157">
        <v>69803950.85</v>
      </c>
    </row>
    <row r="26" spans="1:14" ht="15.75" thickBot="1">
      <c r="A26" s="40" t="s">
        <v>165</v>
      </c>
      <c r="B26" s="8"/>
      <c r="C26" s="170"/>
      <c r="D26" s="170"/>
      <c r="E26" s="170"/>
      <c r="F26" s="8"/>
      <c r="G26" s="8"/>
      <c r="H26" s="8"/>
      <c r="I26" s="8"/>
      <c r="J26" s="81"/>
      <c r="K26" s="82"/>
      <c r="L26" s="80"/>
      <c r="N26" s="158">
        <f>SUM(N20:N25)</f>
        <v>272679156.67</v>
      </c>
    </row>
    <row r="27" spans="1:12" ht="15.75" thickTop="1">
      <c r="A27" s="40" t="s">
        <v>159</v>
      </c>
      <c r="B27" s="8"/>
      <c r="C27" s="170"/>
      <c r="D27" s="170"/>
      <c r="E27" s="170"/>
      <c r="F27" s="8"/>
      <c r="G27" s="8"/>
      <c r="H27" s="8"/>
      <c r="I27" s="8"/>
      <c r="J27" s="81"/>
      <c r="K27" s="82"/>
      <c r="L27" s="80"/>
    </row>
    <row r="28" spans="1:12" ht="15">
      <c r="A28" s="40" t="s">
        <v>186</v>
      </c>
      <c r="B28" s="8"/>
      <c r="C28" s="170"/>
      <c r="D28" s="170"/>
      <c r="E28" s="170"/>
      <c r="F28" s="8"/>
      <c r="G28" s="8"/>
      <c r="H28" s="8"/>
      <c r="I28" s="8"/>
      <c r="J28" s="81"/>
      <c r="K28" s="82"/>
      <c r="L28" s="80"/>
    </row>
    <row r="29" spans="1:12" ht="15">
      <c r="A29" s="40" t="s">
        <v>176</v>
      </c>
      <c r="B29" s="8"/>
      <c r="C29" s="170"/>
      <c r="D29" s="170"/>
      <c r="E29" s="170"/>
      <c r="F29" s="8"/>
      <c r="G29" s="8"/>
      <c r="H29" s="8"/>
      <c r="I29" s="8"/>
      <c r="J29" s="81"/>
      <c r="K29" s="82"/>
      <c r="L29" s="80"/>
    </row>
    <row r="30" spans="1:12" ht="15">
      <c r="A30" s="40" t="s">
        <v>166</v>
      </c>
      <c r="B30" s="8"/>
      <c r="C30" s="170"/>
      <c r="D30" s="170"/>
      <c r="E30" s="170"/>
      <c r="F30" s="8"/>
      <c r="G30" s="8"/>
      <c r="H30" s="8"/>
      <c r="I30" s="8"/>
      <c r="J30" s="81"/>
      <c r="K30" s="82"/>
      <c r="L30" s="80"/>
    </row>
    <row r="31" spans="1:12" ht="15">
      <c r="A31" s="40" t="s">
        <v>81</v>
      </c>
      <c r="B31" s="8"/>
      <c r="C31" s="170"/>
      <c r="D31" s="170">
        <v>4188.27</v>
      </c>
      <c r="E31" s="170"/>
      <c r="F31" s="8">
        <f>+SUM(C31:E31)</f>
        <v>4188.27</v>
      </c>
      <c r="G31" s="8"/>
      <c r="H31" s="8"/>
      <c r="I31" s="8"/>
      <c r="J31" s="81"/>
      <c r="K31" s="82"/>
      <c r="L31" s="80"/>
    </row>
    <row r="32" spans="1:12" ht="15">
      <c r="A32" s="40" t="s">
        <v>175</v>
      </c>
      <c r="B32" s="8"/>
      <c r="C32" s="170"/>
      <c r="D32" s="170"/>
      <c r="E32" s="170"/>
      <c r="F32" s="8"/>
      <c r="G32" s="8"/>
      <c r="H32" s="8"/>
      <c r="I32" s="8"/>
      <c r="J32" s="81"/>
      <c r="K32" s="82"/>
      <c r="L32" s="80"/>
    </row>
    <row r="33" spans="1:14" ht="15">
      <c r="A33" s="40" t="s">
        <v>90</v>
      </c>
      <c r="B33" s="8"/>
      <c r="C33" s="170"/>
      <c r="D33" s="170"/>
      <c r="E33" s="170"/>
      <c r="F33" s="8"/>
      <c r="G33" s="8"/>
      <c r="H33" s="8"/>
      <c r="I33" s="8"/>
      <c r="J33" s="81"/>
      <c r="K33" s="82"/>
      <c r="L33" s="80"/>
      <c r="N33" s="97" t="s">
        <v>155</v>
      </c>
    </row>
    <row r="34" spans="1:12" ht="15">
      <c r="A34" s="40" t="s">
        <v>91</v>
      </c>
      <c r="B34" s="8"/>
      <c r="C34" s="170"/>
      <c r="D34" s="170"/>
      <c r="E34" s="170"/>
      <c r="F34" s="8"/>
      <c r="G34" s="8"/>
      <c r="H34" s="8"/>
      <c r="I34" s="8"/>
      <c r="J34" s="81"/>
      <c r="K34" s="82"/>
      <c r="L34" s="80"/>
    </row>
    <row r="35" spans="1:12" ht="15" customHeight="1">
      <c r="A35" s="40" t="s">
        <v>169</v>
      </c>
      <c r="B35" s="8"/>
      <c r="C35" s="170"/>
      <c r="D35" s="170"/>
      <c r="E35" s="170"/>
      <c r="F35" s="8"/>
      <c r="G35" s="8"/>
      <c r="H35" s="8"/>
      <c r="I35" s="8"/>
      <c r="J35" s="81"/>
      <c r="K35" s="82"/>
      <c r="L35" s="80"/>
    </row>
    <row r="36" spans="1:12" ht="15" customHeight="1">
      <c r="A36" s="40" t="s">
        <v>170</v>
      </c>
      <c r="B36" s="8"/>
      <c r="C36" s="170"/>
      <c r="D36" s="170"/>
      <c r="E36" s="170"/>
      <c r="F36" s="8"/>
      <c r="G36" s="8"/>
      <c r="H36" s="8"/>
      <c r="I36" s="8"/>
      <c r="J36" s="81"/>
      <c r="K36" s="82"/>
      <c r="L36" s="80"/>
    </row>
    <row r="37" spans="1:12" ht="15" customHeight="1">
      <c r="A37" s="40" t="s">
        <v>182</v>
      </c>
      <c r="B37" s="8"/>
      <c r="C37" s="170"/>
      <c r="D37" s="170"/>
      <c r="E37" s="170"/>
      <c r="F37" s="8"/>
      <c r="G37" s="8"/>
      <c r="H37" s="8"/>
      <c r="I37" s="8"/>
      <c r="J37" s="81"/>
      <c r="K37" s="82"/>
      <c r="L37" s="80"/>
    </row>
    <row r="38" spans="1:12" ht="15" customHeight="1">
      <c r="A38" s="40" t="s">
        <v>193</v>
      </c>
      <c r="B38" s="8"/>
      <c r="C38" s="170"/>
      <c r="D38" s="170"/>
      <c r="E38" s="170"/>
      <c r="F38" s="8"/>
      <c r="G38" s="8"/>
      <c r="H38" s="8"/>
      <c r="I38" s="8"/>
      <c r="J38" s="81"/>
      <c r="K38" s="82"/>
      <c r="L38" s="80"/>
    </row>
    <row r="39" spans="1:12" ht="15" customHeight="1">
      <c r="A39" s="40" t="s">
        <v>194</v>
      </c>
      <c r="B39" s="8"/>
      <c r="C39" s="170"/>
      <c r="D39" s="170"/>
      <c r="E39" s="170"/>
      <c r="F39" s="8"/>
      <c r="G39" s="8"/>
      <c r="H39" s="8"/>
      <c r="I39" s="8"/>
      <c r="J39" s="81"/>
      <c r="K39" s="82"/>
      <c r="L39" s="80"/>
    </row>
    <row r="40" spans="1:12" ht="15" customHeight="1">
      <c r="A40" s="40" t="s">
        <v>195</v>
      </c>
      <c r="B40" s="8"/>
      <c r="C40" s="170"/>
      <c r="D40" s="170"/>
      <c r="E40" s="170"/>
      <c r="F40" s="8"/>
      <c r="G40" s="8"/>
      <c r="H40" s="8"/>
      <c r="I40" s="8"/>
      <c r="J40" s="81"/>
      <c r="K40" s="82"/>
      <c r="L40" s="80"/>
    </row>
    <row r="41" spans="1:12" ht="15" customHeight="1">
      <c r="A41" s="40" t="s">
        <v>198</v>
      </c>
      <c r="B41" s="8"/>
      <c r="C41" s="170"/>
      <c r="D41" s="170"/>
      <c r="E41" s="170"/>
      <c r="F41" s="8"/>
      <c r="G41" s="8"/>
      <c r="H41" s="8"/>
      <c r="I41" s="8"/>
      <c r="J41" s="81"/>
      <c r="K41" s="82"/>
      <c r="L41" s="80"/>
    </row>
    <row r="42" spans="1:12" ht="15" customHeight="1">
      <c r="A42" s="40" t="s">
        <v>199</v>
      </c>
      <c r="B42" s="8"/>
      <c r="C42" s="170"/>
      <c r="D42" s="170">
        <v>102300</v>
      </c>
      <c r="E42" s="170"/>
      <c r="F42" s="8">
        <f>+SUM(C42:E42)</f>
        <v>102300</v>
      </c>
      <c r="G42" s="8"/>
      <c r="H42" s="8"/>
      <c r="I42" s="8"/>
      <c r="J42" s="81"/>
      <c r="K42" s="82"/>
      <c r="L42" s="80"/>
    </row>
    <row r="43" spans="1:12" ht="15" customHeight="1">
      <c r="A43" s="40" t="s">
        <v>162</v>
      </c>
      <c r="B43" s="8"/>
      <c r="C43" s="170"/>
      <c r="D43" s="170">
        <v>56040</v>
      </c>
      <c r="E43" s="170"/>
      <c r="F43" s="8">
        <f>+SUM(C43:E43)</f>
        <v>56040</v>
      </c>
      <c r="G43" s="8"/>
      <c r="H43" s="8"/>
      <c r="I43" s="8"/>
      <c r="J43" s="81"/>
      <c r="K43" s="82"/>
      <c r="L43" s="80"/>
    </row>
    <row r="44" spans="1:12" ht="15">
      <c r="A44" s="40" t="s">
        <v>32</v>
      </c>
      <c r="B44" s="8"/>
      <c r="C44" s="170"/>
      <c r="D44" s="170"/>
      <c r="E44" s="170"/>
      <c r="F44" s="8"/>
      <c r="G44" s="8"/>
      <c r="H44" s="8"/>
      <c r="I44" s="8"/>
      <c r="J44" s="81"/>
      <c r="K44" s="82"/>
      <c r="L44" s="80"/>
    </row>
    <row r="45" spans="1:12" ht="15">
      <c r="A45" s="40" t="s">
        <v>212</v>
      </c>
      <c r="B45" s="8"/>
      <c r="C45" s="170"/>
      <c r="D45" s="170">
        <v>75000</v>
      </c>
      <c r="E45" s="170"/>
      <c r="F45" s="8">
        <f>+SUM(C45:E45)</f>
        <v>75000</v>
      </c>
      <c r="G45" s="8"/>
      <c r="H45" s="8"/>
      <c r="I45" s="8"/>
      <c r="J45" s="81"/>
      <c r="K45" s="82"/>
      <c r="L45" s="80"/>
    </row>
    <row r="46" spans="1:12" ht="15">
      <c r="A46" s="40" t="s">
        <v>214</v>
      </c>
      <c r="B46" s="8"/>
      <c r="C46" s="170"/>
      <c r="D46" s="170"/>
      <c r="E46" s="170"/>
      <c r="F46" s="8">
        <v>82764000</v>
      </c>
      <c r="G46" s="8"/>
      <c r="H46" s="8"/>
      <c r="I46" s="8"/>
      <c r="J46" s="81"/>
      <c r="K46" s="82"/>
      <c r="L46" s="80"/>
    </row>
    <row r="47" spans="1:12" ht="15">
      <c r="A47" s="40" t="s">
        <v>33</v>
      </c>
      <c r="B47" s="8"/>
      <c r="C47" s="170"/>
      <c r="D47" s="170"/>
      <c r="E47" s="170"/>
      <c r="F47" s="8"/>
      <c r="G47" s="8"/>
      <c r="H47" s="8"/>
      <c r="I47" s="8"/>
      <c r="J47" s="81"/>
      <c r="K47" s="82"/>
      <c r="L47" s="80"/>
    </row>
    <row r="48" spans="1:12" ht="15">
      <c r="A48" s="40" t="s">
        <v>202</v>
      </c>
      <c r="B48" s="8"/>
      <c r="C48" s="170"/>
      <c r="D48" s="170"/>
      <c r="E48" s="170"/>
      <c r="F48" s="8"/>
      <c r="G48" s="8"/>
      <c r="H48" s="8"/>
      <c r="I48" s="8"/>
      <c r="J48" s="81"/>
      <c r="K48" s="82"/>
      <c r="L48" s="80"/>
    </row>
    <row r="49" spans="1:12" ht="15">
      <c r="A49" s="39" t="s">
        <v>35</v>
      </c>
      <c r="B49" s="86">
        <f>+SUM(B20:B48)</f>
        <v>0</v>
      </c>
      <c r="C49" s="172"/>
      <c r="D49" s="172"/>
      <c r="E49" s="172"/>
      <c r="F49" s="86">
        <f>+SUM(F20:F48)</f>
        <v>83001528.27</v>
      </c>
      <c r="G49" s="8"/>
      <c r="H49" s="8"/>
      <c r="I49" s="8"/>
      <c r="J49" s="89"/>
      <c r="K49" s="82"/>
      <c r="L49" s="80"/>
    </row>
    <row r="50" spans="1:12" ht="15.75" thickBot="1">
      <c r="A50" s="44" t="s">
        <v>36</v>
      </c>
      <c r="B50" s="90">
        <f>+B19-B49</f>
        <v>59793170</v>
      </c>
      <c r="C50" s="173"/>
      <c r="D50" s="173"/>
      <c r="E50" s="173"/>
      <c r="F50" s="90">
        <f>+F19-F49</f>
        <v>454907536.6500001</v>
      </c>
      <c r="G50" s="91"/>
      <c r="H50" s="91"/>
      <c r="I50" s="91"/>
      <c r="J50" s="92">
        <f>+J19</f>
        <v>597702234.9200001</v>
      </c>
      <c r="K50" s="82"/>
      <c r="L50" s="80"/>
    </row>
    <row r="51" spans="1:12" ht="15">
      <c r="A51" s="20"/>
      <c r="B51" s="159"/>
      <c r="C51" s="159"/>
      <c r="D51" s="159"/>
      <c r="E51" s="159"/>
      <c r="F51" s="159"/>
      <c r="G51" s="160"/>
      <c r="H51" s="160"/>
      <c r="I51" s="160"/>
      <c r="J51" s="159"/>
      <c r="K51" s="160"/>
      <c r="L51" s="161"/>
    </row>
    <row r="52" spans="1:12" ht="15">
      <c r="A52" s="162" t="s">
        <v>151</v>
      </c>
      <c r="B52" s="159"/>
      <c r="C52" s="159"/>
      <c r="D52" s="159"/>
      <c r="E52" s="159"/>
      <c r="F52" s="159"/>
      <c r="G52" s="160"/>
      <c r="H52" s="160"/>
      <c r="I52" s="160"/>
      <c r="J52" s="159"/>
      <c r="K52" s="160"/>
      <c r="L52" s="161"/>
    </row>
    <row r="53" spans="1:10" ht="15">
      <c r="A53" s="162"/>
      <c r="G53" s="162"/>
      <c r="H53" s="162"/>
      <c r="I53" s="162"/>
      <c r="J53" s="162"/>
    </row>
    <row r="54" spans="7:10" ht="15">
      <c r="G54" s="162"/>
      <c r="H54" s="162"/>
      <c r="I54" s="162"/>
      <c r="J54" s="162"/>
    </row>
    <row r="55" spans="1:10" ht="15">
      <c r="A55" s="23" t="s">
        <v>207</v>
      </c>
      <c r="F55" s="162"/>
      <c r="G55" s="162"/>
      <c r="H55" s="162"/>
      <c r="I55" s="162"/>
      <c r="J55" s="162"/>
    </row>
    <row r="56" spans="1:10" ht="15">
      <c r="A56" s="23" t="s">
        <v>206</v>
      </c>
      <c r="F56" s="162"/>
      <c r="G56" s="162"/>
      <c r="H56" s="162"/>
      <c r="I56" s="162"/>
      <c r="J56" s="162"/>
    </row>
    <row r="57" spans="6:10" ht="15">
      <c r="F57" s="162"/>
      <c r="G57" s="162"/>
      <c r="H57" s="162"/>
      <c r="I57" s="162"/>
      <c r="J57" s="162"/>
    </row>
    <row r="58" ht="14.25" customHeight="1"/>
    <row r="59" ht="14.25" customHeight="1"/>
    <row r="60" spans="2:12" ht="15" customHeight="1">
      <c r="B60" s="161"/>
      <c r="C60" s="161"/>
      <c r="D60" s="161"/>
      <c r="E60" s="161"/>
      <c r="F60" s="161"/>
      <c r="I60" s="225" t="s">
        <v>70</v>
      </c>
      <c r="J60" s="226"/>
      <c r="K60" s="163"/>
      <c r="L60" s="163"/>
    </row>
    <row r="61" spans="2:14" ht="15" customHeight="1">
      <c r="B61" s="223"/>
      <c r="C61" s="223"/>
      <c r="D61" s="223"/>
      <c r="E61" s="223"/>
      <c r="F61" s="223"/>
      <c r="I61" s="224" t="s">
        <v>156</v>
      </c>
      <c r="J61" s="224"/>
      <c r="K61" s="164"/>
      <c r="L61" s="164"/>
      <c r="N61" s="97" t="s">
        <v>41</v>
      </c>
    </row>
    <row r="62" spans="2:14" ht="15" customHeight="1">
      <c r="B62" s="223"/>
      <c r="C62" s="223"/>
      <c r="D62" s="223"/>
      <c r="E62" s="223"/>
      <c r="F62" s="223"/>
      <c r="I62" s="224"/>
      <c r="J62" s="224"/>
      <c r="K62" s="164"/>
      <c r="L62" s="164"/>
      <c r="N62" s="97" t="s">
        <v>150</v>
      </c>
    </row>
    <row r="63" spans="1:14" s="117" customFormat="1" ht="15">
      <c r="A63" s="97"/>
      <c r="B63" s="97"/>
      <c r="C63" s="97"/>
      <c r="D63" s="97"/>
      <c r="E63" s="97"/>
      <c r="F63" s="157"/>
      <c r="G63" s="97"/>
      <c r="H63" s="97"/>
      <c r="I63" s="97"/>
      <c r="J63" s="97"/>
      <c r="K63" s="97"/>
      <c r="L63" s="97"/>
      <c r="N63" s="97"/>
    </row>
    <row r="64" spans="6:14" ht="15">
      <c r="F64" s="165"/>
      <c r="N64" s="117"/>
    </row>
    <row r="65" spans="1:14" s="117" customFormat="1" ht="15">
      <c r="A65" s="97"/>
      <c r="B65" s="97"/>
      <c r="C65" s="97"/>
      <c r="D65" s="97"/>
      <c r="E65" s="97"/>
      <c r="F65" s="157"/>
      <c r="G65" s="97"/>
      <c r="H65" s="97"/>
      <c r="K65" s="97"/>
      <c r="L65" s="97"/>
      <c r="N65" s="97"/>
    </row>
    <row r="66" spans="1:12" s="117" customFormat="1" ht="15">
      <c r="A66" s="97"/>
      <c r="B66" s="97"/>
      <c r="C66" s="97"/>
      <c r="D66" s="97"/>
      <c r="E66" s="97"/>
      <c r="F66" s="157">
        <v>54127359.65</v>
      </c>
      <c r="G66" s="97"/>
      <c r="H66" s="97"/>
      <c r="K66" s="97"/>
      <c r="L66" s="97"/>
    </row>
    <row r="67" spans="6:14" ht="15">
      <c r="F67" s="157">
        <f>+F49-F66</f>
        <v>28874168.619999997</v>
      </c>
      <c r="N67" s="117"/>
    </row>
  </sheetData>
  <sheetProtection/>
  <mergeCells count="17">
    <mergeCell ref="B61:F61"/>
    <mergeCell ref="I61:J61"/>
    <mergeCell ref="B62:F62"/>
    <mergeCell ref="I62:J62"/>
    <mergeCell ref="A3:L3"/>
    <mergeCell ref="A4:L4"/>
    <mergeCell ref="A5:L5"/>
    <mergeCell ref="A8:A10"/>
    <mergeCell ref="B8:F8"/>
    <mergeCell ref="G8:G10"/>
    <mergeCell ref="H8:H10"/>
    <mergeCell ref="I8:I10"/>
    <mergeCell ref="J8:J10"/>
    <mergeCell ref="K8:K9"/>
    <mergeCell ref="F14:F16"/>
    <mergeCell ref="J14:J16"/>
    <mergeCell ref="I60:J60"/>
  </mergeCells>
  <printOptions horizontalCentered="1"/>
  <pageMargins left="0.25" right="0.25" top="0.75" bottom="0.75" header="0.3" footer="0.3"/>
  <pageSetup fitToHeight="0" fitToWidth="0" horizontalDpi="360" verticalDpi="360" orientation="portrait" paperSize="9" scale="65" r:id="rId4"/>
  <drawing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B4:I11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0.7109375" style="0" customWidth="1"/>
    <col min="2" max="2" width="9.140625" style="61" customWidth="1"/>
    <col min="3" max="9" width="15.00390625" style="62" customWidth="1"/>
    <col min="10" max="13" width="9.140625" style="62" customWidth="1"/>
    <col min="14" max="17" width="9.140625" style="59" customWidth="1"/>
  </cols>
  <sheetData>
    <row r="4" spans="3:8" ht="15">
      <c r="C4" s="228" t="s">
        <v>60</v>
      </c>
      <c r="D4" s="228"/>
      <c r="E4" s="228"/>
      <c r="F4" s="228"/>
      <c r="G4" s="228"/>
      <c r="H4" s="63" t="s">
        <v>61</v>
      </c>
    </row>
    <row r="5" spans="3:6" ht="15">
      <c r="C5" s="62" t="s">
        <v>55</v>
      </c>
      <c r="D5" s="62" t="s">
        <v>57</v>
      </c>
      <c r="E5" s="62" t="s">
        <v>58</v>
      </c>
      <c r="F5" s="62" t="s">
        <v>65</v>
      </c>
    </row>
    <row r="6" ht="15">
      <c r="B6" s="61" t="s">
        <v>52</v>
      </c>
    </row>
    <row r="7" ht="15">
      <c r="B7" s="61" t="s">
        <v>67</v>
      </c>
    </row>
    <row r="8" spans="2:6" ht="15">
      <c r="B8" s="61" t="s">
        <v>53</v>
      </c>
      <c r="C8" s="62">
        <v>8097.56</v>
      </c>
      <c r="E8" s="62">
        <v>20337.92</v>
      </c>
      <c r="F8" s="62">
        <v>14360</v>
      </c>
    </row>
    <row r="9" spans="2:3" ht="15">
      <c r="B9" s="61" t="s">
        <v>54</v>
      </c>
      <c r="C9" s="62">
        <v>4059.98</v>
      </c>
    </row>
    <row r="10" spans="2:9" ht="15">
      <c r="B10" s="61" t="s">
        <v>56</v>
      </c>
      <c r="C10" s="62">
        <v>4065.58</v>
      </c>
      <c r="D10" s="62">
        <f>4370.3+41163.44</f>
        <v>45533.740000000005</v>
      </c>
      <c r="E10" s="62">
        <v>6786.39</v>
      </c>
      <c r="H10" s="62">
        <v>2636849</v>
      </c>
      <c r="I10" s="64" t="s">
        <v>66</v>
      </c>
    </row>
    <row r="11" spans="2:3" ht="15">
      <c r="B11" s="61" t="s">
        <v>59</v>
      </c>
      <c r="C11" s="62">
        <v>4048.78</v>
      </c>
    </row>
  </sheetData>
  <sheetProtection/>
  <mergeCells count="1">
    <mergeCell ref="C4:G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75" t="s">
        <v>2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62</v>
      </c>
      <c r="B5" s="175"/>
      <c r="C5" s="175"/>
      <c r="D5" s="175"/>
      <c r="E5" s="175"/>
      <c r="F5" s="175"/>
      <c r="G5" s="175"/>
      <c r="H5" s="175"/>
      <c r="I5" s="175"/>
    </row>
    <row r="6" spans="1:9" ht="15">
      <c r="A6" s="175" t="s">
        <v>3</v>
      </c>
      <c r="B6" s="175"/>
      <c r="C6" s="175"/>
      <c r="D6" s="175"/>
      <c r="E6" s="175"/>
      <c r="F6" s="175"/>
      <c r="G6" s="175"/>
      <c r="H6" s="175"/>
      <c r="I6" s="175"/>
    </row>
    <row r="8" ht="9" customHeight="1" thickBot="1"/>
    <row r="9" spans="1:9" ht="21" customHeight="1">
      <c r="A9" s="176" t="s">
        <v>4</v>
      </c>
      <c r="B9" s="179" t="s">
        <v>5</v>
      </c>
      <c r="C9" s="180"/>
      <c r="D9" s="176" t="s">
        <v>6</v>
      </c>
      <c r="E9" s="176" t="s">
        <v>11</v>
      </c>
      <c r="F9" s="176" t="s">
        <v>40</v>
      </c>
      <c r="G9" s="181" t="s">
        <v>12</v>
      </c>
      <c r="H9" s="184" t="s">
        <v>7</v>
      </c>
      <c r="I9" s="1" t="s">
        <v>8</v>
      </c>
    </row>
    <row r="10" spans="1:9" ht="31.5" customHeight="1">
      <c r="A10" s="177"/>
      <c r="B10" s="51" t="s">
        <v>9</v>
      </c>
      <c r="C10" s="53" t="s">
        <v>10</v>
      </c>
      <c r="D10" s="177"/>
      <c r="E10" s="177"/>
      <c r="F10" s="177"/>
      <c r="G10" s="182"/>
      <c r="H10" s="185"/>
      <c r="I10" s="2"/>
    </row>
    <row r="11" spans="1:11" ht="20.25" customHeight="1" thickBot="1">
      <c r="A11" s="178"/>
      <c r="B11" s="52">
        <v>0.3</v>
      </c>
      <c r="C11" s="54">
        <v>0.7</v>
      </c>
      <c r="D11" s="178"/>
      <c r="E11" s="178"/>
      <c r="F11" s="178"/>
      <c r="G11" s="18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>SUM(B14:F14)</f>
        <v>49705954.53</v>
      </c>
      <c r="H14" s="9"/>
      <c r="I14" s="5"/>
      <c r="K14" s="188"/>
      <c r="M14" s="19">
        <f>+K13*0.3</f>
        <v>39603054.3</v>
      </c>
    </row>
    <row r="15" spans="1:11" ht="15">
      <c r="A15" s="34" t="s">
        <v>17</v>
      </c>
      <c r="B15" s="189">
        <f>220000000+22552281</f>
        <v>242552281</v>
      </c>
      <c r="C15" s="189"/>
      <c r="D15" s="10"/>
      <c r="E15" s="11"/>
      <c r="F15" s="11"/>
      <c r="G15" s="192">
        <f>SUM(B15:F15)</f>
        <v>242552281</v>
      </c>
      <c r="H15" s="9"/>
      <c r="I15" s="5"/>
      <c r="K15" s="188"/>
    </row>
    <row r="16" spans="1:11" ht="15">
      <c r="A16" s="34" t="s">
        <v>18</v>
      </c>
      <c r="B16" s="190"/>
      <c r="C16" s="190"/>
      <c r="D16" s="11"/>
      <c r="E16" s="11"/>
      <c r="F16" s="11"/>
      <c r="G16" s="193">
        <f>SUM(B16:F16)</f>
        <v>0</v>
      </c>
      <c r="H16" s="9"/>
      <c r="I16" s="5"/>
      <c r="K16" s="188"/>
    </row>
    <row r="17" spans="1:11" ht="15">
      <c r="A17" s="34" t="s">
        <v>19</v>
      </c>
      <c r="B17" s="190"/>
      <c r="C17" s="190"/>
      <c r="D17" s="11"/>
      <c r="E17" s="11"/>
      <c r="F17" s="11"/>
      <c r="G17" s="193">
        <f>SUM(B17:F17)</f>
        <v>0</v>
      </c>
      <c r="H17" s="9"/>
      <c r="I17" s="5"/>
      <c r="K17" s="58"/>
    </row>
    <row r="18" spans="1:14" ht="15">
      <c r="A18" s="35" t="s">
        <v>20</v>
      </c>
      <c r="B18" s="191"/>
      <c r="C18" s="191"/>
      <c r="D18" s="13"/>
      <c r="E18" s="13"/>
      <c r="F18" s="13"/>
      <c r="G18" s="194">
        <f>SUM(B18:F18)</f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</f>
        <v>16223.12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2740090.17</v>
      </c>
      <c r="D37" s="6"/>
      <c r="E37" s="6"/>
      <c r="F37" s="6"/>
      <c r="G37" s="43">
        <f>SUM(B37:F37)</f>
        <v>2740090.17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138427991.06000003</v>
      </c>
      <c r="D38" s="47"/>
      <c r="E38" s="47"/>
      <c r="F38" s="47"/>
      <c r="G38" s="48">
        <f>G21-G37</f>
        <v>420178326.36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96" t="str">
        <f>+K48</f>
        <v>CHARLITO B. PADUL</v>
      </c>
      <c r="G48" s="195"/>
      <c r="H48" s="26"/>
      <c r="I48" s="26"/>
      <c r="J48" s="26"/>
      <c r="K48" s="4" t="s">
        <v>70</v>
      </c>
    </row>
    <row r="49" spans="2:11" ht="15" customHeight="1">
      <c r="B49" s="186"/>
      <c r="C49" s="186"/>
      <c r="F49" s="197" t="str">
        <f>+K49</f>
        <v>Asisstant City Budget Officer</v>
      </c>
      <c r="G49" s="187"/>
      <c r="H49" s="27"/>
      <c r="I49" s="27"/>
      <c r="J49" s="27"/>
      <c r="K49" s="19" t="s">
        <v>71</v>
      </c>
    </row>
    <row r="50" spans="2:11" ht="15" customHeight="1">
      <c r="B50" s="186"/>
      <c r="C50" s="186"/>
      <c r="F50" s="187" t="s">
        <v>43</v>
      </c>
      <c r="G50" s="187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75" t="s">
        <v>2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72</v>
      </c>
      <c r="B5" s="175"/>
      <c r="C5" s="175"/>
      <c r="D5" s="175"/>
      <c r="E5" s="175"/>
      <c r="F5" s="175"/>
      <c r="G5" s="175"/>
      <c r="H5" s="175"/>
      <c r="I5" s="175"/>
    </row>
    <row r="6" spans="1:9" ht="15">
      <c r="A6" s="175" t="s">
        <v>3</v>
      </c>
      <c r="B6" s="175"/>
      <c r="C6" s="175"/>
      <c r="D6" s="175"/>
      <c r="E6" s="175"/>
      <c r="F6" s="175"/>
      <c r="G6" s="175"/>
      <c r="H6" s="175"/>
      <c r="I6" s="175"/>
    </row>
    <row r="8" ht="9" customHeight="1" thickBot="1"/>
    <row r="9" spans="1:9" ht="21" customHeight="1">
      <c r="A9" s="176" t="s">
        <v>4</v>
      </c>
      <c r="B9" s="179" t="s">
        <v>5</v>
      </c>
      <c r="C9" s="180"/>
      <c r="D9" s="176" t="s">
        <v>6</v>
      </c>
      <c r="E9" s="176" t="s">
        <v>11</v>
      </c>
      <c r="F9" s="176" t="s">
        <v>40</v>
      </c>
      <c r="G9" s="181" t="s">
        <v>12</v>
      </c>
      <c r="H9" s="184" t="s">
        <v>7</v>
      </c>
      <c r="I9" s="1" t="s">
        <v>8</v>
      </c>
    </row>
    <row r="10" spans="1:9" ht="31.5" customHeight="1">
      <c r="A10" s="177"/>
      <c r="B10" s="51" t="s">
        <v>9</v>
      </c>
      <c r="C10" s="53" t="s">
        <v>10</v>
      </c>
      <c r="D10" s="177"/>
      <c r="E10" s="177"/>
      <c r="F10" s="177"/>
      <c r="G10" s="182"/>
      <c r="H10" s="185"/>
      <c r="I10" s="2"/>
    </row>
    <row r="11" spans="1:11" ht="20.25" customHeight="1" thickBot="1">
      <c r="A11" s="178"/>
      <c r="B11" s="52">
        <v>0.3</v>
      </c>
      <c r="C11" s="54">
        <v>0.7</v>
      </c>
      <c r="D11" s="178"/>
      <c r="E11" s="178"/>
      <c r="F11" s="178"/>
      <c r="G11" s="18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>SUM(B14:F14)</f>
        <v>49705954.53</v>
      </c>
      <c r="H14" s="9"/>
      <c r="I14" s="5"/>
      <c r="K14" s="188"/>
      <c r="M14" s="19">
        <f>+K13*0.3</f>
        <v>39603054.3</v>
      </c>
    </row>
    <row r="15" spans="1:11" ht="15">
      <c r="A15" s="34" t="s">
        <v>17</v>
      </c>
      <c r="B15" s="189">
        <f>220000000+22552281</f>
        <v>242552281</v>
      </c>
      <c r="C15" s="189"/>
      <c r="D15" s="10"/>
      <c r="E15" s="11"/>
      <c r="F15" s="11"/>
      <c r="G15" s="192">
        <f>SUM(B15:F15)</f>
        <v>242552281</v>
      </c>
      <c r="H15" s="9"/>
      <c r="I15" s="5"/>
      <c r="K15" s="188"/>
    </row>
    <row r="16" spans="1:11" ht="15">
      <c r="A16" s="34" t="s">
        <v>18</v>
      </c>
      <c r="B16" s="190"/>
      <c r="C16" s="190"/>
      <c r="D16" s="11"/>
      <c r="E16" s="11"/>
      <c r="F16" s="11"/>
      <c r="G16" s="193">
        <f>SUM(B16:F16)</f>
        <v>0</v>
      </c>
      <c r="H16" s="9"/>
      <c r="I16" s="5"/>
      <c r="K16" s="188"/>
    </row>
    <row r="17" spans="1:11" ht="15">
      <c r="A17" s="34" t="s">
        <v>19</v>
      </c>
      <c r="B17" s="190"/>
      <c r="C17" s="190"/>
      <c r="D17" s="11"/>
      <c r="E17" s="11"/>
      <c r="F17" s="11"/>
      <c r="G17" s="193">
        <f>SUM(B17:F17)</f>
        <v>0</v>
      </c>
      <c r="H17" s="9"/>
      <c r="I17" s="5"/>
      <c r="K17" s="58"/>
    </row>
    <row r="18" spans="1:14" ht="15">
      <c r="A18" s="35" t="s">
        <v>20</v>
      </c>
      <c r="B18" s="191"/>
      <c r="C18" s="191"/>
      <c r="D18" s="13"/>
      <c r="E18" s="13"/>
      <c r="F18" s="13"/>
      <c r="G18" s="194">
        <f>SUM(B18:F18)</f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</f>
        <v>20271.9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2744138.95</v>
      </c>
      <c r="D37" s="6"/>
      <c r="E37" s="6"/>
      <c r="F37" s="6"/>
      <c r="G37" s="43">
        <f>SUM(B37:F37)</f>
        <v>2744138.95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138423942.28000003</v>
      </c>
      <c r="D38" s="47"/>
      <c r="E38" s="47"/>
      <c r="F38" s="47"/>
      <c r="G38" s="48">
        <f>G21-G37</f>
        <v>420174277.58000004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96" t="str">
        <f>+K48</f>
        <v>CHARLITO B. PADUL</v>
      </c>
      <c r="G48" s="195"/>
      <c r="H48" s="26"/>
      <c r="I48" s="26"/>
      <c r="J48" s="26"/>
      <c r="K48" s="4" t="s">
        <v>70</v>
      </c>
    </row>
    <row r="49" spans="2:11" ht="15" customHeight="1">
      <c r="B49" s="186"/>
      <c r="C49" s="186"/>
      <c r="F49" s="197" t="str">
        <f>+K49</f>
        <v>Asisstant City Budget Officer</v>
      </c>
      <c r="G49" s="187"/>
      <c r="H49" s="27"/>
      <c r="I49" s="27"/>
      <c r="J49" s="27"/>
      <c r="K49" s="19" t="s">
        <v>71</v>
      </c>
    </row>
    <row r="50" spans="2:11" ht="15" customHeight="1">
      <c r="B50" s="186"/>
      <c r="C50" s="186"/>
      <c r="F50" s="187" t="s">
        <v>43</v>
      </c>
      <c r="G50" s="187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75" t="s">
        <v>2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73</v>
      </c>
      <c r="B5" s="175"/>
      <c r="C5" s="175"/>
      <c r="D5" s="175"/>
      <c r="E5" s="175"/>
      <c r="F5" s="175"/>
      <c r="G5" s="175"/>
      <c r="H5" s="175"/>
      <c r="I5" s="175"/>
    </row>
    <row r="6" spans="1:9" ht="15">
      <c r="A6" s="175" t="s">
        <v>3</v>
      </c>
      <c r="B6" s="175"/>
      <c r="C6" s="175"/>
      <c r="D6" s="175"/>
      <c r="E6" s="175"/>
      <c r="F6" s="175"/>
      <c r="G6" s="175"/>
      <c r="H6" s="175"/>
      <c r="I6" s="175"/>
    </row>
    <row r="8" ht="9" customHeight="1" thickBot="1"/>
    <row r="9" spans="1:9" ht="21" customHeight="1">
      <c r="A9" s="176" t="s">
        <v>4</v>
      </c>
      <c r="B9" s="179" t="s">
        <v>5</v>
      </c>
      <c r="C9" s="180"/>
      <c r="D9" s="176" t="s">
        <v>6</v>
      </c>
      <c r="E9" s="176" t="s">
        <v>11</v>
      </c>
      <c r="F9" s="176" t="s">
        <v>40</v>
      </c>
      <c r="G9" s="181" t="s">
        <v>12</v>
      </c>
      <c r="H9" s="184" t="s">
        <v>7</v>
      </c>
      <c r="I9" s="1" t="s">
        <v>8</v>
      </c>
    </row>
    <row r="10" spans="1:9" ht="31.5" customHeight="1">
      <c r="A10" s="177"/>
      <c r="B10" s="51" t="s">
        <v>9</v>
      </c>
      <c r="C10" s="53" t="s">
        <v>10</v>
      </c>
      <c r="D10" s="177"/>
      <c r="E10" s="177"/>
      <c r="F10" s="177"/>
      <c r="G10" s="182"/>
      <c r="H10" s="185"/>
      <c r="I10" s="2"/>
    </row>
    <row r="11" spans="1:11" ht="20.25" customHeight="1" thickBot="1">
      <c r="A11" s="178"/>
      <c r="B11" s="52">
        <v>0.3</v>
      </c>
      <c r="C11" s="54">
        <v>0.7</v>
      </c>
      <c r="D11" s="178"/>
      <c r="E11" s="178"/>
      <c r="F11" s="178"/>
      <c r="G11" s="18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>SUM(B14:F14)</f>
        <v>49705954.53</v>
      </c>
      <c r="H14" s="9"/>
      <c r="I14" s="5"/>
      <c r="K14" s="188"/>
      <c r="M14" s="19">
        <f>+K13*0.3</f>
        <v>39603054.3</v>
      </c>
    </row>
    <row r="15" spans="1:11" ht="15">
      <c r="A15" s="34" t="s">
        <v>17</v>
      </c>
      <c r="B15" s="189">
        <f>220000000+22552281</f>
        <v>242552281</v>
      </c>
      <c r="C15" s="189"/>
      <c r="D15" s="10"/>
      <c r="E15" s="11"/>
      <c r="F15" s="11"/>
      <c r="G15" s="192">
        <f>SUM(B15:F15)</f>
        <v>242552281</v>
      </c>
      <c r="H15" s="9"/>
      <c r="I15" s="5"/>
      <c r="K15" s="188"/>
    </row>
    <row r="16" spans="1:11" ht="15">
      <c r="A16" s="34" t="s">
        <v>18</v>
      </c>
      <c r="B16" s="190"/>
      <c r="C16" s="190"/>
      <c r="D16" s="11"/>
      <c r="E16" s="11"/>
      <c r="F16" s="11"/>
      <c r="G16" s="193">
        <f>SUM(B16:F16)</f>
        <v>0</v>
      </c>
      <c r="H16" s="9"/>
      <c r="I16" s="5"/>
      <c r="K16" s="188"/>
    </row>
    <row r="17" spans="1:11" ht="15">
      <c r="A17" s="34" t="s">
        <v>19</v>
      </c>
      <c r="B17" s="190"/>
      <c r="C17" s="190"/>
      <c r="D17" s="11"/>
      <c r="E17" s="11"/>
      <c r="F17" s="11"/>
      <c r="G17" s="193">
        <f>SUM(B17:F17)</f>
        <v>0</v>
      </c>
      <c r="H17" s="9"/>
      <c r="I17" s="5"/>
      <c r="K17" s="60"/>
    </row>
    <row r="18" spans="1:14" ht="15">
      <c r="A18" s="35" t="s">
        <v>20</v>
      </c>
      <c r="B18" s="191"/>
      <c r="C18" s="191"/>
      <c r="D18" s="13"/>
      <c r="E18" s="13"/>
      <c r="F18" s="13"/>
      <c r="G18" s="194">
        <f>SUM(B18:F18)</f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</f>
        <v>24320.68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40" t="s">
        <v>33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2" t="s">
        <v>34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39" t="s">
        <v>35</v>
      </c>
      <c r="B38" s="18">
        <f>+SUM(B23:B37)</f>
        <v>0</v>
      </c>
      <c r="C38" s="18">
        <f>+SUM(C23:C37)</f>
        <v>2852024.41</v>
      </c>
      <c r="D38" s="6"/>
      <c r="E38" s="6"/>
      <c r="F38" s="6"/>
      <c r="G38" s="43">
        <f>SUM(B38:F38)</f>
        <v>2852024.41</v>
      </c>
      <c r="H38" s="9"/>
      <c r="I38" s="5"/>
    </row>
    <row r="39" spans="1:9" ht="15.75" thickBot="1">
      <c r="A39" s="44" t="s">
        <v>36</v>
      </c>
      <c r="B39" s="46">
        <f>B21-B38</f>
        <v>281750335.3</v>
      </c>
      <c r="C39" s="46">
        <f>+C21-C38</f>
        <v>138316056.82000002</v>
      </c>
      <c r="D39" s="47"/>
      <c r="E39" s="47"/>
      <c r="F39" s="47"/>
      <c r="G39" s="48">
        <f>G21-G38</f>
        <v>420066392.12</v>
      </c>
      <c r="H39" s="9"/>
      <c r="I39" s="5"/>
    </row>
    <row r="40" spans="1:9" ht="15">
      <c r="A40" s="20"/>
      <c r="B40" s="21"/>
      <c r="C40" s="21"/>
      <c r="D40" s="7"/>
      <c r="E40" s="7"/>
      <c r="F40" s="7"/>
      <c r="G40" s="21"/>
      <c r="H40" s="7"/>
      <c r="I40" s="22"/>
    </row>
    <row r="41" spans="1:9" ht="15">
      <c r="A41" s="23" t="s">
        <v>69</v>
      </c>
      <c r="B41" s="21"/>
      <c r="C41" s="21"/>
      <c r="D41" s="7"/>
      <c r="E41" s="7"/>
      <c r="F41" s="7"/>
      <c r="G41" s="21"/>
      <c r="H41" s="7"/>
      <c r="I41" s="22"/>
    </row>
    <row r="43" spans="3:7" ht="15">
      <c r="C43" s="24" t="s">
        <v>37</v>
      </c>
      <c r="D43" s="24"/>
      <c r="E43" s="24"/>
      <c r="F43" s="24"/>
      <c r="G43" s="24"/>
    </row>
    <row r="44" spans="3:11" ht="15">
      <c r="C44" s="24" t="s">
        <v>38</v>
      </c>
      <c r="D44" s="24"/>
      <c r="E44" s="24"/>
      <c r="F44" s="24"/>
      <c r="G44" s="24"/>
      <c r="K44" s="4"/>
    </row>
    <row r="45" spans="3:11" ht="14.25" customHeight="1">
      <c r="C45" s="24"/>
      <c r="D45" s="24"/>
      <c r="E45" s="24"/>
      <c r="F45" s="24"/>
      <c r="G45" s="24"/>
      <c r="K45" s="4"/>
    </row>
    <row r="46" spans="11:12" ht="14.25" customHeight="1">
      <c r="K46" s="19"/>
      <c r="L46" s="56"/>
    </row>
    <row r="47" spans="11:12" ht="14.25" customHeight="1">
      <c r="K47" s="19"/>
      <c r="L47" s="56"/>
    </row>
    <row r="48" ht="14.25" customHeight="1"/>
    <row r="49" spans="2:11" ht="15" customHeight="1">
      <c r="B49" s="22"/>
      <c r="C49" s="22"/>
      <c r="F49" s="196" t="str">
        <f>+K49</f>
        <v>CHARLITO B. PADUL</v>
      </c>
      <c r="G49" s="195"/>
      <c r="H49" s="26"/>
      <c r="I49" s="26"/>
      <c r="J49" s="26"/>
      <c r="K49" s="4" t="s">
        <v>70</v>
      </c>
    </row>
    <row r="50" spans="2:11" ht="15" customHeight="1">
      <c r="B50" s="186"/>
      <c r="C50" s="186"/>
      <c r="F50" s="197" t="str">
        <f>+K50</f>
        <v>Asisstant City Budget Officer</v>
      </c>
      <c r="G50" s="187"/>
      <c r="H50" s="27"/>
      <c r="I50" s="27"/>
      <c r="J50" s="27"/>
      <c r="K50" s="19" t="s">
        <v>71</v>
      </c>
    </row>
    <row r="51" spans="2:11" ht="15" customHeight="1">
      <c r="B51" s="186"/>
      <c r="C51" s="186"/>
      <c r="F51" s="187" t="s">
        <v>43</v>
      </c>
      <c r="G51" s="187"/>
      <c r="H51" s="27"/>
      <c r="I51" s="27"/>
      <c r="J51" s="27"/>
      <c r="K51" s="4"/>
    </row>
    <row r="52" spans="1:14" s="19" customFormat="1" ht="15">
      <c r="A52"/>
      <c r="B52"/>
      <c r="C52"/>
      <c r="D52"/>
      <c r="E52"/>
      <c r="F52"/>
      <c r="G52"/>
      <c r="H52"/>
      <c r="I52"/>
      <c r="J52"/>
      <c r="M52"/>
      <c r="N52"/>
    </row>
    <row r="54" spans="1:14" s="19" customFormat="1" ht="15">
      <c r="A54"/>
      <c r="B54"/>
      <c r="D54"/>
      <c r="E54"/>
      <c r="F54"/>
      <c r="G54"/>
      <c r="H54"/>
      <c r="I54"/>
      <c r="J54"/>
      <c r="K54"/>
      <c r="M54"/>
      <c r="N54"/>
    </row>
    <row r="55" spans="1:14" s="19" customFormat="1" ht="15">
      <c r="A55"/>
      <c r="B55"/>
      <c r="C55" s="4"/>
      <c r="D55"/>
      <c r="E55"/>
      <c r="F55"/>
      <c r="G55"/>
      <c r="H55"/>
      <c r="I55"/>
      <c r="J55"/>
      <c r="K55"/>
      <c r="M55"/>
      <c r="N55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1:C51"/>
    <mergeCell ref="F51:G51"/>
    <mergeCell ref="K14:K16"/>
    <mergeCell ref="B15:B18"/>
    <mergeCell ref="C15:C18"/>
    <mergeCell ref="G15:G18"/>
    <mergeCell ref="F49:G49"/>
    <mergeCell ref="B50:C50"/>
    <mergeCell ref="F50:G5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75" t="s">
        <v>2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74</v>
      </c>
      <c r="B5" s="175"/>
      <c r="C5" s="175"/>
      <c r="D5" s="175"/>
      <c r="E5" s="175"/>
      <c r="F5" s="175"/>
      <c r="G5" s="175"/>
      <c r="H5" s="175"/>
      <c r="I5" s="175"/>
    </row>
    <row r="6" spans="1:9" ht="15">
      <c r="A6" s="175" t="s">
        <v>3</v>
      </c>
      <c r="B6" s="175"/>
      <c r="C6" s="175"/>
      <c r="D6" s="175"/>
      <c r="E6" s="175"/>
      <c r="F6" s="175"/>
      <c r="G6" s="175"/>
      <c r="H6" s="175"/>
      <c r="I6" s="175"/>
    </row>
    <row r="8" ht="9" customHeight="1" thickBot="1"/>
    <row r="9" spans="1:9" ht="21" customHeight="1">
      <c r="A9" s="176" t="s">
        <v>4</v>
      </c>
      <c r="B9" s="179" t="s">
        <v>5</v>
      </c>
      <c r="C9" s="180"/>
      <c r="D9" s="176" t="s">
        <v>6</v>
      </c>
      <c r="E9" s="176" t="s">
        <v>11</v>
      </c>
      <c r="F9" s="176" t="s">
        <v>40</v>
      </c>
      <c r="G9" s="181" t="s">
        <v>12</v>
      </c>
      <c r="H9" s="184" t="s">
        <v>7</v>
      </c>
      <c r="I9" s="1" t="s">
        <v>8</v>
      </c>
    </row>
    <row r="10" spans="1:9" ht="31.5" customHeight="1">
      <c r="A10" s="177"/>
      <c r="B10" s="51" t="s">
        <v>9</v>
      </c>
      <c r="C10" s="53" t="s">
        <v>10</v>
      </c>
      <c r="D10" s="177"/>
      <c r="E10" s="177"/>
      <c r="F10" s="177"/>
      <c r="G10" s="182"/>
      <c r="H10" s="185"/>
      <c r="I10" s="2"/>
    </row>
    <row r="11" spans="1:11" ht="20.25" customHeight="1" thickBot="1">
      <c r="A11" s="178"/>
      <c r="B11" s="52">
        <v>0.3</v>
      </c>
      <c r="C11" s="54">
        <v>0.7</v>
      </c>
      <c r="D11" s="178"/>
      <c r="E11" s="178"/>
      <c r="F11" s="178"/>
      <c r="G11" s="18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>SUM(B14:F14)</f>
        <v>49705954.53</v>
      </c>
      <c r="H14" s="9"/>
      <c r="I14" s="5"/>
      <c r="K14" s="188"/>
      <c r="M14" s="19">
        <f>+K13*0.3</f>
        <v>39603054.3</v>
      </c>
    </row>
    <row r="15" spans="1:11" ht="15">
      <c r="A15" s="34" t="s">
        <v>17</v>
      </c>
      <c r="B15" s="189">
        <f>220000000+22552281</f>
        <v>242552281</v>
      </c>
      <c r="C15" s="189"/>
      <c r="D15" s="10"/>
      <c r="E15" s="11"/>
      <c r="F15" s="11"/>
      <c r="G15" s="192">
        <f>SUM(B15:F15)</f>
        <v>242552281</v>
      </c>
      <c r="H15" s="9"/>
      <c r="I15" s="5"/>
      <c r="K15" s="188"/>
    </row>
    <row r="16" spans="1:11" ht="15">
      <c r="A16" s="34" t="s">
        <v>18</v>
      </c>
      <c r="B16" s="190"/>
      <c r="C16" s="190"/>
      <c r="D16" s="11"/>
      <c r="E16" s="11"/>
      <c r="F16" s="11"/>
      <c r="G16" s="193">
        <f>SUM(B16:F16)</f>
        <v>0</v>
      </c>
      <c r="H16" s="9"/>
      <c r="I16" s="5"/>
      <c r="K16" s="188"/>
    </row>
    <row r="17" spans="1:11" ht="15">
      <c r="A17" s="34" t="s">
        <v>19</v>
      </c>
      <c r="B17" s="190"/>
      <c r="C17" s="190"/>
      <c r="D17" s="11"/>
      <c r="E17" s="11"/>
      <c r="F17" s="11"/>
      <c r="G17" s="193">
        <f>SUM(B17:F17)</f>
        <v>0</v>
      </c>
      <c r="H17" s="9"/>
      <c r="I17" s="5"/>
      <c r="K17" s="60"/>
    </row>
    <row r="18" spans="1:14" ht="15">
      <c r="A18" s="35" t="s">
        <v>20</v>
      </c>
      <c r="B18" s="191"/>
      <c r="C18" s="191"/>
      <c r="D18" s="13"/>
      <c r="E18" s="13"/>
      <c r="F18" s="13"/>
      <c r="G18" s="194">
        <f>SUM(B18:F18)</f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8097.56+4059.98+4065.58+4048.78+4048.78+4066.12</f>
        <v>28386.8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198" t="s">
        <v>77</v>
      </c>
      <c r="B36" s="200"/>
      <c r="C36" s="200">
        <v>5870000</v>
      </c>
      <c r="D36" s="200"/>
      <c r="E36" s="200"/>
      <c r="F36" s="200"/>
      <c r="G36" s="200"/>
      <c r="H36" s="9"/>
      <c r="I36" s="5"/>
    </row>
    <row r="37" spans="1:9" ht="15">
      <c r="A37" s="199"/>
      <c r="B37" s="201"/>
      <c r="C37" s="201"/>
      <c r="D37" s="201"/>
      <c r="E37" s="201"/>
      <c r="F37" s="201"/>
      <c r="G37" s="201"/>
      <c r="H37" s="9"/>
      <c r="I37" s="5"/>
    </row>
    <row r="38" spans="1:9" ht="15">
      <c r="A38" s="40" t="s">
        <v>33</v>
      </c>
      <c r="B38" s="6"/>
      <c r="C38" s="6"/>
      <c r="D38" s="6"/>
      <c r="E38" s="6"/>
      <c r="F38" s="6"/>
      <c r="G38" s="33"/>
      <c r="H38" s="9"/>
      <c r="I38" s="5"/>
    </row>
    <row r="39" spans="1:9" ht="15">
      <c r="A39" s="32" t="s">
        <v>34</v>
      </c>
      <c r="B39" s="6"/>
      <c r="C39" s="6"/>
      <c r="D39" s="6"/>
      <c r="E39" s="6"/>
      <c r="F39" s="6"/>
      <c r="G39" s="33"/>
      <c r="H39" s="9"/>
      <c r="I39" s="5"/>
    </row>
    <row r="40" spans="1:9" ht="15">
      <c r="A40" s="39" t="s">
        <v>35</v>
      </c>
      <c r="B40" s="18">
        <f>+SUM(B23:B39)</f>
        <v>0</v>
      </c>
      <c r="C40" s="18">
        <f>+SUM(C23:C39)</f>
        <v>8726090.53</v>
      </c>
      <c r="D40" s="6"/>
      <c r="E40" s="6"/>
      <c r="F40" s="6"/>
      <c r="G40" s="43">
        <f>SUM(B40:F40)</f>
        <v>8726090.53</v>
      </c>
      <c r="H40" s="9"/>
      <c r="I40" s="5"/>
    </row>
    <row r="41" spans="1:9" ht="15.75" thickBot="1">
      <c r="A41" s="44" t="s">
        <v>36</v>
      </c>
      <c r="B41" s="46">
        <f>B21-B40</f>
        <v>281750335.3</v>
      </c>
      <c r="C41" s="46">
        <f>+C21-C40</f>
        <v>132441990.70000002</v>
      </c>
      <c r="D41" s="47"/>
      <c r="E41" s="47"/>
      <c r="F41" s="47"/>
      <c r="G41" s="48">
        <f>G21-G40</f>
        <v>414192326.00000006</v>
      </c>
      <c r="H41" s="9"/>
      <c r="I41" s="5"/>
    </row>
    <row r="42" spans="1:9" ht="15">
      <c r="A42" s="20"/>
      <c r="B42" s="21"/>
      <c r="C42" s="21"/>
      <c r="D42" s="7"/>
      <c r="E42" s="7"/>
      <c r="F42" s="7"/>
      <c r="G42" s="21"/>
      <c r="H42" s="7"/>
      <c r="I42" s="22"/>
    </row>
    <row r="43" spans="1:9" ht="15">
      <c r="A43" s="23" t="s">
        <v>69</v>
      </c>
      <c r="B43" s="21"/>
      <c r="C43" s="21"/>
      <c r="D43" s="7"/>
      <c r="E43" s="7"/>
      <c r="F43" s="7"/>
      <c r="G43" s="21"/>
      <c r="H43" s="7"/>
      <c r="I43" s="22"/>
    </row>
    <row r="45" spans="3:7" ht="15">
      <c r="C45" s="24" t="s">
        <v>37</v>
      </c>
      <c r="D45" s="24"/>
      <c r="E45" s="24"/>
      <c r="F45" s="24"/>
      <c r="G45" s="24"/>
    </row>
    <row r="46" spans="3:11" ht="15">
      <c r="C46" s="24" t="s">
        <v>38</v>
      </c>
      <c r="D46" s="24"/>
      <c r="E46" s="24"/>
      <c r="F46" s="24"/>
      <c r="G46" s="24"/>
      <c r="K46" s="4"/>
    </row>
    <row r="47" spans="3:11" ht="14.25" customHeight="1">
      <c r="C47" s="24"/>
      <c r="D47" s="24"/>
      <c r="E47" s="24"/>
      <c r="F47" s="24"/>
      <c r="G47" s="24"/>
      <c r="K47" s="4"/>
    </row>
    <row r="48" spans="11:12" ht="14.25" customHeight="1">
      <c r="K48" s="19"/>
      <c r="L48" s="56"/>
    </row>
    <row r="49" spans="11:12" ht="14.25" customHeight="1">
      <c r="K49" s="19"/>
      <c r="L49" s="56"/>
    </row>
    <row r="50" ht="14.25" customHeight="1"/>
    <row r="51" spans="2:11" ht="15" customHeight="1">
      <c r="B51" s="22"/>
      <c r="C51" s="22"/>
      <c r="F51" s="196" t="str">
        <f>+K51</f>
        <v>CHARLITO B. PADUL</v>
      </c>
      <c r="G51" s="195"/>
      <c r="H51" s="26"/>
      <c r="I51" s="26"/>
      <c r="J51" s="26"/>
      <c r="K51" s="4" t="s">
        <v>70</v>
      </c>
    </row>
    <row r="52" spans="2:11" ht="15" customHeight="1">
      <c r="B52" s="186"/>
      <c r="C52" s="186"/>
      <c r="F52" s="197" t="str">
        <f>+K52</f>
        <v>Asisstant City Budget Officer</v>
      </c>
      <c r="G52" s="187"/>
      <c r="H52" s="27"/>
      <c r="I52" s="27"/>
      <c r="J52" s="27"/>
      <c r="K52" s="19" t="s">
        <v>71</v>
      </c>
    </row>
    <row r="53" spans="2:11" ht="15" customHeight="1">
      <c r="B53" s="186"/>
      <c r="C53" s="186"/>
      <c r="F53" s="187" t="s">
        <v>43</v>
      </c>
      <c r="G53" s="187"/>
      <c r="H53" s="27"/>
      <c r="I53" s="27"/>
      <c r="J53" s="27"/>
      <c r="K53" s="4"/>
    </row>
    <row r="54" spans="1:14" s="19" customFormat="1" ht="15">
      <c r="A54"/>
      <c r="B54"/>
      <c r="C54"/>
      <c r="D54"/>
      <c r="E54"/>
      <c r="F54"/>
      <c r="G54"/>
      <c r="H54"/>
      <c r="I54"/>
      <c r="J54"/>
      <c r="M54"/>
      <c r="N54"/>
    </row>
    <row r="56" spans="1:14" s="19" customFormat="1" ht="15">
      <c r="A56"/>
      <c r="B56"/>
      <c r="D56"/>
      <c r="E56"/>
      <c r="F56"/>
      <c r="G56"/>
      <c r="H56"/>
      <c r="I56"/>
      <c r="J56"/>
      <c r="K56"/>
      <c r="M56"/>
      <c r="N56"/>
    </row>
    <row r="57" spans="1:14" s="19" customFormat="1" ht="15">
      <c r="A57"/>
      <c r="B57"/>
      <c r="C57" s="4"/>
      <c r="D57"/>
      <c r="E57"/>
      <c r="F57"/>
      <c r="G57"/>
      <c r="H57"/>
      <c r="I57"/>
      <c r="J57"/>
      <c r="K57"/>
      <c r="M57"/>
      <c r="N57"/>
    </row>
  </sheetData>
  <sheetProtection/>
  <mergeCells count="26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A36:A37"/>
    <mergeCell ref="B36:B37"/>
    <mergeCell ref="C36:C37"/>
    <mergeCell ref="D36:D37"/>
    <mergeCell ref="K14:K16"/>
    <mergeCell ref="B15:B18"/>
    <mergeCell ref="C15:C18"/>
    <mergeCell ref="G15:G18"/>
    <mergeCell ref="E36:E37"/>
    <mergeCell ref="F36:F37"/>
    <mergeCell ref="G36:G37"/>
    <mergeCell ref="B53:C53"/>
    <mergeCell ref="F53:G53"/>
    <mergeCell ref="F51:G51"/>
    <mergeCell ref="B52:C52"/>
    <mergeCell ref="F52:G52"/>
  </mergeCells>
  <printOptions horizontalCentered="1"/>
  <pageMargins left="0.2" right="0" top="0.4" bottom="0.31" header="0.15" footer="0.37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75" t="s">
        <v>2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175" t="s">
        <v>75</v>
      </c>
      <c r="B5" s="175"/>
      <c r="C5" s="175"/>
      <c r="D5" s="175"/>
      <c r="E5" s="175"/>
      <c r="F5" s="175"/>
      <c r="G5" s="175"/>
      <c r="H5" s="175"/>
      <c r="I5" s="175"/>
    </row>
    <row r="6" spans="1:9" ht="15">
      <c r="A6" s="175" t="s">
        <v>3</v>
      </c>
      <c r="B6" s="175"/>
      <c r="C6" s="175"/>
      <c r="D6" s="175"/>
      <c r="E6" s="175"/>
      <c r="F6" s="175"/>
      <c r="G6" s="175"/>
      <c r="H6" s="175"/>
      <c r="I6" s="175"/>
    </row>
    <row r="8" ht="9" customHeight="1" thickBot="1"/>
    <row r="9" spans="1:9" ht="21" customHeight="1">
      <c r="A9" s="176" t="s">
        <v>4</v>
      </c>
      <c r="B9" s="179" t="s">
        <v>5</v>
      </c>
      <c r="C9" s="180"/>
      <c r="D9" s="176" t="s">
        <v>6</v>
      </c>
      <c r="E9" s="176" t="s">
        <v>11</v>
      </c>
      <c r="F9" s="176" t="s">
        <v>40</v>
      </c>
      <c r="G9" s="181" t="s">
        <v>12</v>
      </c>
      <c r="H9" s="184" t="s">
        <v>7</v>
      </c>
      <c r="I9" s="1" t="s">
        <v>8</v>
      </c>
    </row>
    <row r="10" spans="1:9" ht="31.5" customHeight="1">
      <c r="A10" s="177"/>
      <c r="B10" s="51" t="s">
        <v>9</v>
      </c>
      <c r="C10" s="53" t="s">
        <v>10</v>
      </c>
      <c r="D10" s="177"/>
      <c r="E10" s="177"/>
      <c r="F10" s="177"/>
      <c r="G10" s="182"/>
      <c r="H10" s="185"/>
      <c r="I10" s="2"/>
    </row>
    <row r="11" spans="1:11" ht="20.25" customHeight="1" thickBot="1">
      <c r="A11" s="178"/>
      <c r="B11" s="52">
        <v>0.3</v>
      </c>
      <c r="C11" s="54">
        <v>0.7</v>
      </c>
      <c r="D11" s="178"/>
      <c r="E11" s="178"/>
      <c r="F11" s="178"/>
      <c r="G11" s="183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>SUM(B14:F14)</f>
        <v>49705954.53</v>
      </c>
      <c r="H14" s="9"/>
      <c r="I14" s="5"/>
      <c r="K14" s="188"/>
      <c r="M14" s="19">
        <f>+K13*0.3</f>
        <v>39603054.3</v>
      </c>
    </row>
    <row r="15" spans="1:11" ht="15">
      <c r="A15" s="34" t="s">
        <v>17</v>
      </c>
      <c r="B15" s="189">
        <f>220000000+22552281</f>
        <v>242552281</v>
      </c>
      <c r="C15" s="189"/>
      <c r="D15" s="10"/>
      <c r="E15" s="11"/>
      <c r="F15" s="11"/>
      <c r="G15" s="192">
        <f>SUM(B15:F15)</f>
        <v>242552281</v>
      </c>
      <c r="H15" s="9"/>
      <c r="I15" s="5"/>
      <c r="K15" s="188"/>
    </row>
    <row r="16" spans="1:11" ht="15">
      <c r="A16" s="34" t="s">
        <v>18</v>
      </c>
      <c r="B16" s="190"/>
      <c r="C16" s="190"/>
      <c r="D16" s="11"/>
      <c r="E16" s="11"/>
      <c r="F16" s="11"/>
      <c r="G16" s="193">
        <f>SUM(B16:F16)</f>
        <v>0</v>
      </c>
      <c r="H16" s="9"/>
      <c r="I16" s="5"/>
      <c r="K16" s="188"/>
    </row>
    <row r="17" spans="1:11" ht="15">
      <c r="A17" s="34" t="s">
        <v>19</v>
      </c>
      <c r="B17" s="190"/>
      <c r="C17" s="190"/>
      <c r="D17" s="11"/>
      <c r="E17" s="11"/>
      <c r="F17" s="11"/>
      <c r="G17" s="193">
        <f>SUM(B17:F17)</f>
        <v>0</v>
      </c>
      <c r="H17" s="9"/>
      <c r="I17" s="5"/>
      <c r="K17" s="60"/>
    </row>
    <row r="18" spans="1:14" ht="15">
      <c r="A18" s="35" t="s">
        <v>20</v>
      </c>
      <c r="B18" s="191"/>
      <c r="C18" s="191"/>
      <c r="D18" s="13"/>
      <c r="E18" s="13"/>
      <c r="F18" s="13"/>
      <c r="G18" s="194">
        <f>SUM(B18:F18)</f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78</v>
      </c>
      <c r="B29" s="6"/>
      <c r="C29" s="6">
        <v>102000</v>
      </c>
      <c r="D29" s="6"/>
      <c r="E29" s="6"/>
      <c r="F29" s="6"/>
      <c r="G29" s="33"/>
      <c r="H29" s="9"/>
      <c r="I29" s="5"/>
    </row>
    <row r="30" spans="1:9" ht="15">
      <c r="A30" s="40" t="s">
        <v>79</v>
      </c>
      <c r="B30" s="6"/>
      <c r="C30" s="6">
        <v>485000</v>
      </c>
      <c r="D30" s="6"/>
      <c r="E30" s="6"/>
      <c r="F30" s="6"/>
      <c r="G30" s="33"/>
      <c r="H30" s="9"/>
      <c r="I30" s="5"/>
    </row>
    <row r="31" spans="1:9" ht="15">
      <c r="A31" s="40" t="s">
        <v>80</v>
      </c>
      <c r="B31" s="6"/>
      <c r="C31" s="6">
        <f>21952+9900</f>
        <v>31852</v>
      </c>
      <c r="D31" s="6"/>
      <c r="E31" s="6"/>
      <c r="F31" s="6"/>
      <c r="G31" s="33"/>
      <c r="H31" s="9"/>
      <c r="I31" s="5"/>
    </row>
    <row r="32" spans="1:9" ht="15">
      <c r="A32" s="40" t="s">
        <v>81</v>
      </c>
      <c r="B32" s="6"/>
      <c r="C32" s="6">
        <f>8097.56+4059.98+4065.58+4048.78+4048.78+4066.12+24000</f>
        <v>52386.8</v>
      </c>
      <c r="D32" s="6"/>
      <c r="E32" s="6"/>
      <c r="F32" s="6"/>
      <c r="G32" s="33"/>
      <c r="H32" s="9"/>
      <c r="I32" s="5"/>
    </row>
    <row r="33" spans="1:9" ht="15" customHeight="1" hidden="1">
      <c r="A33" s="41" t="s">
        <v>30</v>
      </c>
      <c r="B33" s="6"/>
      <c r="C33" s="6"/>
      <c r="D33" s="6"/>
      <c r="E33" s="6"/>
      <c r="F33" s="6"/>
      <c r="G33" s="33"/>
      <c r="H33" s="9"/>
      <c r="I33" s="5"/>
    </row>
    <row r="34" spans="1:9" ht="15" customHeight="1">
      <c r="A34" s="40" t="s">
        <v>63</v>
      </c>
      <c r="B34" s="6"/>
      <c r="C34" s="6">
        <f>4370.3+41163.44</f>
        <v>45533.740000000005</v>
      </c>
      <c r="D34" s="6"/>
      <c r="E34" s="6"/>
      <c r="F34" s="6"/>
      <c r="G34" s="33"/>
      <c r="H34" s="9"/>
      <c r="I34" s="5"/>
    </row>
    <row r="35" spans="1:9" ht="15">
      <c r="A35" s="42" t="s">
        <v>31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40" t="s">
        <v>76</v>
      </c>
      <c r="B36" s="6"/>
      <c r="C36" s="6">
        <v>103836.68</v>
      </c>
      <c r="D36" s="6"/>
      <c r="E36" s="6"/>
      <c r="F36" s="6"/>
      <c r="G36" s="33"/>
      <c r="H36" s="9"/>
      <c r="I36" s="5"/>
    </row>
    <row r="37" spans="1:9" ht="15">
      <c r="A37" s="40" t="s">
        <v>32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40" t="s">
        <v>64</v>
      </c>
      <c r="B38" s="6"/>
      <c r="C38" s="6">
        <v>2636849</v>
      </c>
      <c r="D38" s="6"/>
      <c r="E38" s="6"/>
      <c r="F38" s="6"/>
      <c r="G38" s="33"/>
      <c r="H38" s="9"/>
      <c r="I38" s="5"/>
    </row>
    <row r="39" spans="1:9" ht="15">
      <c r="A39" s="198" t="s">
        <v>82</v>
      </c>
      <c r="B39" s="200"/>
      <c r="C39" s="200">
        <v>5870000</v>
      </c>
      <c r="D39" s="200"/>
      <c r="E39" s="200"/>
      <c r="F39" s="200"/>
      <c r="G39" s="202"/>
      <c r="H39" s="9"/>
      <c r="I39" s="5"/>
    </row>
    <row r="40" spans="1:9" ht="15">
      <c r="A40" s="199"/>
      <c r="B40" s="201"/>
      <c r="C40" s="201"/>
      <c r="D40" s="201"/>
      <c r="E40" s="201"/>
      <c r="F40" s="201"/>
      <c r="G40" s="203"/>
      <c r="H40" s="9"/>
      <c r="I40" s="5"/>
    </row>
    <row r="41" spans="1:9" ht="15">
      <c r="A41" s="40" t="s">
        <v>83</v>
      </c>
      <c r="B41" s="65"/>
      <c r="C41" s="65">
        <v>4780000</v>
      </c>
      <c r="D41" s="65"/>
      <c r="E41" s="65"/>
      <c r="F41" s="65"/>
      <c r="G41" s="66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+SUM(B23:B43)</f>
        <v>0</v>
      </c>
      <c r="C44" s="18">
        <f>+SUM(C23:C43)</f>
        <v>14148942.530000001</v>
      </c>
      <c r="D44" s="6"/>
      <c r="E44" s="6"/>
      <c r="F44" s="6"/>
      <c r="G44" s="43">
        <f>SUM(B44:F44)</f>
        <v>14148942.530000001</v>
      </c>
      <c r="H44" s="9"/>
      <c r="I44" s="5"/>
    </row>
    <row r="45" spans="1:9" ht="15.75" thickBot="1">
      <c r="A45" s="44" t="s">
        <v>36</v>
      </c>
      <c r="B45" s="46">
        <f>B21-B44</f>
        <v>281750335.3</v>
      </c>
      <c r="C45" s="46">
        <f>+C21-C44</f>
        <v>127019138.70000002</v>
      </c>
      <c r="D45" s="47"/>
      <c r="E45" s="47"/>
      <c r="F45" s="47"/>
      <c r="G45" s="48">
        <f>G21-G44</f>
        <v>408769474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96" t="str">
        <f>+K53</f>
        <v>CHARLITO B. PADUL</v>
      </c>
      <c r="G53" s="195"/>
      <c r="H53" s="26"/>
      <c r="I53" s="26"/>
      <c r="J53" s="26"/>
      <c r="K53" s="4" t="s">
        <v>70</v>
      </c>
    </row>
    <row r="54" spans="2:11" ht="15" customHeight="1">
      <c r="B54" s="186"/>
      <c r="C54" s="186"/>
      <c r="F54" s="197" t="str">
        <f>+K54</f>
        <v>Asisstant City Budget Officer</v>
      </c>
      <c r="G54" s="187"/>
      <c r="H54" s="27"/>
      <c r="I54" s="27"/>
      <c r="J54" s="27"/>
      <c r="K54" s="19" t="s">
        <v>71</v>
      </c>
    </row>
    <row r="55" spans="2:11" ht="15" customHeight="1">
      <c r="B55" s="186"/>
      <c r="C55" s="186"/>
      <c r="F55" s="187" t="s">
        <v>43</v>
      </c>
      <c r="G55" s="187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/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K14:K16"/>
    <mergeCell ref="B15:B18"/>
    <mergeCell ref="C15:C18"/>
    <mergeCell ref="G15:G18"/>
    <mergeCell ref="A39:A40"/>
    <mergeCell ref="B39:B40"/>
    <mergeCell ref="C39:C40"/>
    <mergeCell ref="D39:D40"/>
    <mergeCell ref="E39:E40"/>
    <mergeCell ref="F39:F40"/>
    <mergeCell ref="G39:G40"/>
    <mergeCell ref="F53:G53"/>
    <mergeCell ref="B54:C54"/>
    <mergeCell ref="F54:G54"/>
    <mergeCell ref="B55:C55"/>
    <mergeCell ref="F55:G55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Administrator</cp:lastModifiedBy>
  <cp:lastPrinted>2020-07-01T03:38:49Z</cp:lastPrinted>
  <dcterms:created xsi:type="dcterms:W3CDTF">2016-04-13T00:14:10Z</dcterms:created>
  <dcterms:modified xsi:type="dcterms:W3CDTF">2020-07-01T06:41:43Z</dcterms:modified>
  <cp:category/>
  <cp:version/>
  <cp:contentType/>
  <cp:contentStatus/>
</cp:coreProperties>
</file>